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08"/>
  <workbookPr/>
  <mc:AlternateContent xmlns:mc="http://schemas.openxmlformats.org/markup-compatibility/2006">
    <mc:Choice Requires="x15">
      <x15ac:absPath xmlns:x15ac="http://schemas.microsoft.com/office/spreadsheetml/2010/11/ac" url="C:\Users\barba\OneDrive\Documentos\Laboratorio\Articulos\Fe-MOF nanofiber membrane\Revisión articulo\"/>
    </mc:Choice>
  </mc:AlternateContent>
  <xr:revisionPtr revIDLastSave="0" documentId="13_ncr:1_{DE47C7FE-542C-407E-9A4A-62C56C898082}" xr6:coauthVersionLast="47" xr6:coauthVersionMax="47" xr10:uidLastSave="{00000000-0000-0000-0000-000000000000}"/>
  <bookViews>
    <workbookView xWindow="-120" yWindow="-120" windowWidth="29040" windowHeight="15720" xr2:uid="{5F039E53-7C98-4AD0-97C7-02CD937BB61D}"/>
  </bookViews>
  <sheets>
    <sheet name="Scavengers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9" i="1" l="1"/>
  <c r="K45" i="1"/>
  <c r="L45" i="1"/>
  <c r="L39" i="1"/>
  <c r="L40" i="1"/>
  <c r="L41" i="1"/>
  <c r="L42" i="1"/>
  <c r="L43" i="1"/>
  <c r="L44" i="1"/>
  <c r="K39" i="1"/>
  <c r="K40" i="1"/>
  <c r="K41" i="1"/>
  <c r="K42" i="1"/>
  <c r="K43" i="1"/>
  <c r="K44" i="1"/>
  <c r="L38" i="1"/>
  <c r="K38" i="1"/>
  <c r="J39" i="1"/>
  <c r="J45" i="1"/>
  <c r="J41" i="1"/>
  <c r="X21" i="1"/>
  <c r="X22" i="1"/>
  <c r="X23" i="1"/>
  <c r="X24" i="1"/>
  <c r="X25" i="1"/>
  <c r="X26" i="1"/>
  <c r="X27" i="1"/>
  <c r="X20" i="1"/>
  <c r="J40" i="1" l="1"/>
  <c r="J42" i="1"/>
  <c r="J43" i="1"/>
  <c r="J44" i="1"/>
  <c r="J38" i="1"/>
  <c r="H38" i="1"/>
  <c r="F38" i="1"/>
  <c r="I40" i="1"/>
  <c r="I41" i="1"/>
  <c r="I42" i="1"/>
  <c r="I43" i="1"/>
  <c r="I44" i="1"/>
  <c r="I37" i="1"/>
  <c r="H39" i="1"/>
  <c r="H40" i="1"/>
  <c r="H41" i="1"/>
  <c r="H42" i="1"/>
  <c r="H43" i="1"/>
  <c r="H44" i="1"/>
  <c r="G40" i="1"/>
  <c r="G41" i="1"/>
  <c r="G42" i="1"/>
  <c r="G43" i="1"/>
  <c r="G44" i="1"/>
  <c r="H37" i="1"/>
  <c r="G37" i="1"/>
  <c r="F39" i="1"/>
  <c r="F40" i="1"/>
  <c r="F41" i="1"/>
  <c r="F42" i="1"/>
  <c r="F43" i="1"/>
  <c r="F44" i="1"/>
  <c r="F37" i="1"/>
  <c r="E38" i="1"/>
  <c r="E39" i="1"/>
  <c r="E40" i="1"/>
  <c r="E41" i="1"/>
  <c r="E42" i="1"/>
  <c r="E44" i="1"/>
  <c r="E37" i="1"/>
  <c r="V21" i="1"/>
  <c r="V22" i="1"/>
  <c r="V23" i="1"/>
  <c r="V24" i="1"/>
  <c r="V25" i="1"/>
  <c r="V26" i="1"/>
  <c r="V27" i="1"/>
  <c r="V9" i="1"/>
  <c r="V10" i="1"/>
  <c r="V11" i="1"/>
  <c r="V12" i="1"/>
  <c r="V13" i="1"/>
  <c r="V14" i="1"/>
  <c r="V15" i="1"/>
  <c r="V16" i="1"/>
  <c r="V20" i="1"/>
  <c r="V8" i="1"/>
  <c r="AC9" i="1"/>
  <c r="AC10" i="1"/>
  <c r="AC11" i="1"/>
  <c r="AC12" i="1"/>
  <c r="AC13" i="1"/>
  <c r="AC14" i="1"/>
  <c r="AC15" i="1"/>
  <c r="AC16" i="1"/>
  <c r="AC8" i="1"/>
  <c r="AJ25" i="1"/>
  <c r="AJ26" i="1"/>
  <c r="AJ27" i="1"/>
  <c r="AJ28" i="1"/>
  <c r="AJ29" i="1"/>
  <c r="AJ22" i="1"/>
  <c r="AJ9" i="1"/>
  <c r="AJ10" i="1"/>
  <c r="AJ11" i="1"/>
  <c r="AJ12" i="1"/>
  <c r="AJ13" i="1"/>
  <c r="AJ14" i="1"/>
  <c r="AJ15" i="1"/>
  <c r="AJ8" i="1"/>
  <c r="AQ33" i="1"/>
  <c r="AQ34" i="1"/>
  <c r="AQ35" i="1"/>
  <c r="AQ36" i="1"/>
  <c r="AQ37" i="1"/>
  <c r="AQ38" i="1"/>
  <c r="AQ39" i="1"/>
  <c r="AQ32" i="1"/>
  <c r="AQ21" i="1"/>
  <c r="AQ22" i="1"/>
  <c r="AQ23" i="1"/>
  <c r="AQ24" i="1"/>
  <c r="AQ25" i="1"/>
  <c r="AQ26" i="1"/>
  <c r="AQ27" i="1"/>
  <c r="AQ28" i="1"/>
  <c r="AQ9" i="1"/>
  <c r="AQ10" i="1"/>
  <c r="AQ11" i="1"/>
  <c r="AQ12" i="1"/>
  <c r="AQ13" i="1"/>
  <c r="AQ14" i="1"/>
  <c r="AQ15" i="1"/>
  <c r="AQ16" i="1"/>
  <c r="AQ20" i="1"/>
  <c r="AQ8" i="1"/>
  <c r="AO34" i="1"/>
  <c r="AP34" i="1" s="1"/>
  <c r="AO33" i="1"/>
  <c r="AP33" i="1"/>
  <c r="AH10" i="1"/>
  <c r="T26" i="1"/>
  <c r="U26" i="1" s="1"/>
  <c r="AO38" i="1"/>
  <c r="AP38" i="1" s="1"/>
  <c r="AO39" i="1"/>
  <c r="AP39" i="1"/>
  <c r="AP32" i="1"/>
  <c r="AI26" i="1"/>
  <c r="AI27" i="1"/>
  <c r="AI28" i="1"/>
  <c r="AI29" i="1"/>
  <c r="AI25" i="1"/>
  <c r="AP36" i="1"/>
  <c r="AP37" i="1"/>
  <c r="AO35" i="1"/>
  <c r="AP35" i="1" s="1"/>
  <c r="AO32" i="1"/>
  <c r="T27" i="1"/>
  <c r="U27" i="1" s="1"/>
  <c r="T25" i="1"/>
  <c r="U25" i="1" s="1"/>
  <c r="T24" i="1"/>
  <c r="U24" i="1" s="1"/>
  <c r="T23" i="1"/>
  <c r="U23" i="1" s="1"/>
  <c r="T22" i="1"/>
  <c r="U22" i="1" s="1"/>
  <c r="T21" i="1"/>
  <c r="U21" i="1" s="1"/>
  <c r="T20" i="1"/>
  <c r="U20" i="1" s="1"/>
  <c r="W20" i="1" s="1"/>
  <c r="AP28" i="1"/>
  <c r="AP27" i="1"/>
  <c r="AP26" i="1"/>
  <c r="AP25" i="1"/>
  <c r="AP24" i="1"/>
  <c r="AP23" i="1"/>
  <c r="AP22" i="1"/>
  <c r="AP21" i="1"/>
  <c r="AP20" i="1"/>
  <c r="F14" i="1"/>
  <c r="F13" i="1"/>
  <c r="F12" i="1"/>
  <c r="F11" i="1"/>
  <c r="F10" i="1"/>
  <c r="F9" i="1"/>
  <c r="F8" i="1"/>
  <c r="AI23" i="1"/>
  <c r="AJ23" i="1" s="1"/>
  <c r="AI24" i="1"/>
  <c r="AJ24" i="1" s="1"/>
  <c r="N12" i="1"/>
  <c r="N9" i="1"/>
  <c r="N8" i="1"/>
  <c r="O10" i="1" s="1"/>
  <c r="O12" i="1" l="1"/>
  <c r="O14" i="1"/>
  <c r="G14" i="1"/>
  <c r="O13" i="1"/>
  <c r="AR26" i="1"/>
  <c r="AR27" i="1"/>
  <c r="AR28" i="1"/>
  <c r="O9" i="1"/>
  <c r="AR23" i="1"/>
  <c r="AR24" i="1"/>
  <c r="O8" i="1"/>
  <c r="AR36" i="1"/>
  <c r="O11" i="1"/>
  <c r="G13" i="1"/>
  <c r="G12" i="1"/>
  <c r="G11" i="1"/>
  <c r="AR25" i="1"/>
  <c r="AR22" i="1"/>
  <c r="AR21" i="1"/>
  <c r="AR20" i="1"/>
  <c r="AR32" i="1"/>
  <c r="AR33" i="1"/>
  <c r="W21" i="1"/>
  <c r="W22" i="1"/>
  <c r="W26" i="1"/>
  <c r="W27" i="1"/>
  <c r="W25" i="1"/>
  <c r="W24" i="1"/>
  <c r="W23" i="1"/>
  <c r="G10" i="1"/>
  <c r="G9" i="1"/>
  <c r="G8" i="1"/>
  <c r="AR35" i="1"/>
  <c r="AR38" i="1"/>
  <c r="AR34" i="1"/>
  <c r="AR39" i="1"/>
  <c r="AR37" i="1"/>
  <c r="P9" i="1"/>
  <c r="P8" i="1"/>
  <c r="P14" i="1"/>
  <c r="P13" i="1"/>
  <c r="P12" i="1"/>
  <c r="P11" i="1"/>
  <c r="P10" i="1"/>
  <c r="AO16" i="1" l="1"/>
  <c r="AP16" i="1" s="1"/>
  <c r="AO15" i="1"/>
  <c r="AP15" i="1" s="1"/>
  <c r="AO14" i="1"/>
  <c r="AP14" i="1" s="1"/>
  <c r="AO13" i="1"/>
  <c r="AP13" i="1" s="1"/>
  <c r="AO12" i="1"/>
  <c r="AP12" i="1" s="1"/>
  <c r="AO11" i="1"/>
  <c r="AP11" i="1" s="1"/>
  <c r="AO10" i="1"/>
  <c r="AP10" i="1" s="1"/>
  <c r="AO9" i="1"/>
  <c r="AP9" i="1" s="1"/>
  <c r="AO8" i="1"/>
  <c r="AP8" i="1" s="1"/>
  <c r="AI12" i="1"/>
  <c r="AI14" i="1"/>
  <c r="AA16" i="1"/>
  <c r="AB16" i="1" s="1"/>
  <c r="AA15" i="1"/>
  <c r="AB15" i="1" s="1"/>
  <c r="AA14" i="1"/>
  <c r="AB14" i="1" s="1"/>
  <c r="AA13" i="1"/>
  <c r="AB13" i="1" s="1"/>
  <c r="AA12" i="1"/>
  <c r="AB12" i="1" s="1"/>
  <c r="AA11" i="1"/>
  <c r="AB11" i="1" s="1"/>
  <c r="AA10" i="1"/>
  <c r="AB10" i="1" s="1"/>
  <c r="AA9" i="1"/>
  <c r="AB9" i="1" s="1"/>
  <c r="AA8" i="1"/>
  <c r="T16" i="1"/>
  <c r="U16" i="1" s="1"/>
  <c r="T15" i="1"/>
  <c r="U15" i="1" s="1"/>
  <c r="T14" i="1"/>
  <c r="U14" i="1" s="1"/>
  <c r="T13" i="1"/>
  <c r="U13" i="1" s="1"/>
  <c r="T12" i="1"/>
  <c r="U12" i="1" s="1"/>
  <c r="T11" i="1"/>
  <c r="U11" i="1" s="1"/>
  <c r="T10" i="1"/>
  <c r="U10" i="1" s="1"/>
  <c r="T9" i="1"/>
  <c r="U9" i="1" s="1"/>
  <c r="T8" i="1"/>
  <c r="U8" i="1" s="1"/>
  <c r="AH15" i="1"/>
  <c r="AI15" i="1" s="1"/>
  <c r="AH13" i="1"/>
  <c r="AI13" i="1" s="1"/>
  <c r="AH11" i="1"/>
  <c r="AI11" i="1" s="1"/>
  <c r="AI10" i="1"/>
  <c r="AH9" i="1"/>
  <c r="AI9" i="1" s="1"/>
  <c r="AH8" i="1"/>
  <c r="AI8" i="1" s="1"/>
  <c r="AB8" i="1" l="1"/>
  <c r="AD9" i="1" s="1"/>
  <c r="AH22" i="1"/>
  <c r="AI22" i="1" s="1"/>
  <c r="AK11" i="1"/>
  <c r="AK12" i="1"/>
  <c r="AK13" i="1"/>
  <c r="AK14" i="1"/>
  <c r="AK15" i="1"/>
  <c r="AK8" i="1"/>
  <c r="AK9" i="1"/>
  <c r="AK10" i="1"/>
  <c r="AR8" i="1"/>
  <c r="AR9" i="1"/>
  <c r="AR10" i="1"/>
  <c r="AR11" i="1"/>
  <c r="AR12" i="1"/>
  <c r="AR13" i="1"/>
  <c r="AR14" i="1"/>
  <c r="AR15" i="1"/>
  <c r="AR16" i="1"/>
  <c r="W13" i="1"/>
  <c r="W14" i="1"/>
  <c r="W15" i="1"/>
  <c r="W12" i="1"/>
  <c r="W16" i="1"/>
  <c r="W8" i="1"/>
  <c r="W9" i="1"/>
  <c r="W10" i="1"/>
  <c r="W11" i="1"/>
  <c r="AD16" i="1" l="1"/>
  <c r="AK26" i="1"/>
  <c r="AK25" i="1"/>
  <c r="AK24" i="1"/>
  <c r="G39" i="1" s="1"/>
  <c r="AK29" i="1"/>
  <c r="AK27" i="1"/>
  <c r="AK23" i="1"/>
  <c r="G38" i="1" s="1"/>
  <c r="I38" i="1" s="1"/>
  <c r="AK22" i="1"/>
  <c r="AK28" i="1"/>
  <c r="AD15" i="1"/>
  <c r="AD14" i="1"/>
  <c r="AD8" i="1"/>
  <c r="AD13" i="1"/>
  <c r="AD12" i="1"/>
  <c r="AD11" i="1"/>
  <c r="AD10" i="1"/>
</calcChain>
</file>

<file path=xl/sharedStrings.xml><?xml version="1.0" encoding="utf-8"?>
<sst xmlns="http://schemas.openxmlformats.org/spreadsheetml/2006/main" count="79" uniqueCount="34">
  <si>
    <t>Experimentos ya realizados</t>
  </si>
  <si>
    <r>
      <t>Condiciones: 75 mL dis 10 ppm SMX y 10 mM NaSO</t>
    </r>
    <r>
      <rPr>
        <vertAlign val="subscript"/>
        <sz val="11"/>
        <color theme="1"/>
        <rFont val="Aptos Narrow"/>
        <family val="2"/>
        <scheme val="minor"/>
      </rPr>
      <t>4</t>
    </r>
    <r>
      <rPr>
        <sz val="11"/>
        <color theme="1"/>
        <rFont val="Aptos Narrow"/>
        <family val="2"/>
        <scheme val="minor"/>
      </rPr>
      <t xml:space="preserve"> sobre agitador 50 rpm, ánodo: BDD y cátodo Titanio a 25 mA fijos, 0,1 g de fibra de Fe-MOF</t>
    </r>
  </si>
  <si>
    <t>Hidroxilos (·OH)</t>
  </si>
  <si>
    <t>Hidroxilos (·OH) y sulfatos</t>
  </si>
  <si>
    <t>Superóxidos indirecto</t>
  </si>
  <si>
    <t>Singlete</t>
  </si>
  <si>
    <t>OA</t>
  </si>
  <si>
    <t>EF</t>
  </si>
  <si>
    <t>10 mM TBA</t>
  </si>
  <si>
    <t>10 mM isopropanol</t>
  </si>
  <si>
    <t>10 mM Ácido ascórbico</t>
  </si>
  <si>
    <t>10 mM furfural</t>
  </si>
  <si>
    <t>t (min)</t>
  </si>
  <si>
    <t>V (V)</t>
  </si>
  <si>
    <t>I (mA)</t>
  </si>
  <si>
    <t>Área</t>
  </si>
  <si>
    <t>Concentracion (mg/L)</t>
  </si>
  <si>
    <t>Degradación (%)</t>
  </si>
  <si>
    <r>
      <t>C/C</t>
    </r>
    <r>
      <rPr>
        <b/>
        <vertAlign val="subscript"/>
        <sz val="11"/>
        <color theme="1"/>
        <rFont val="Aptos Narrow"/>
        <family val="2"/>
        <scheme val="minor"/>
      </rPr>
      <t>0</t>
    </r>
  </si>
  <si>
    <t>Tiempo (min)</t>
  </si>
  <si>
    <t>Concentración (mg/L)</t>
  </si>
  <si>
    <t xml:space="preserve">Área </t>
  </si>
  <si>
    <t>50 mM TBA</t>
  </si>
  <si>
    <t>Superóxidos directo</t>
  </si>
  <si>
    <t>10 mM furfural repetición medidas HPLC</t>
  </si>
  <si>
    <t>10 mM p-benzoquinona</t>
  </si>
  <si>
    <t>50 mM furfural</t>
  </si>
  <si>
    <t>Cálculos comprobación</t>
  </si>
  <si>
    <t>Degradación EF (%)</t>
  </si>
  <si>
    <t>Dif EF-Hidrocilos</t>
  </si>
  <si>
    <t>Dif EF-superoxidos</t>
  </si>
  <si>
    <t>Dif hidroilos-singlete</t>
  </si>
  <si>
    <t>Total</t>
  </si>
  <si>
    <t>Super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</si>
</sst>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vertAlign val="subscript"/>
      <sz val="11"/>
      <color theme="1"/>
      <name val="Aptos Narrow"/>
      <family val="2"/>
      <scheme val="minor"/>
    </font>
    <font>
      <b/>
      <vertAlign val="subscript"/>
      <sz val="11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6" xfId="0" applyFon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5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2" fontId="0" fillId="0" borderId="0" xfId="0" applyNumberFormat="1"/>
    <xf numFmtId="2" fontId="0" fillId="2" borderId="0" xfId="0" applyNumberFormat="1" applyFill="1"/>
    <xf numFmtId="164" fontId="0" fillId="0" borderId="0" xfId="0" applyNumberFormat="1"/>
    <xf numFmtId="164" fontId="0" fillId="2" borderId="0" xfId="0" applyNumberFormat="1" applyFill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EF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Scavengers!$J$8:$J$14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90</c:v>
                </c:pt>
              </c:numCache>
            </c:numRef>
          </c:xVal>
          <c:yVal>
            <c:numRef>
              <c:f>Scavengers!$P$8:$P$14</c:f>
              <c:numCache>
                <c:formatCode>0.00</c:formatCode>
                <c:ptCount val="7"/>
                <c:pt idx="0">
                  <c:v>0</c:v>
                </c:pt>
                <c:pt idx="1">
                  <c:v>10.587230813015831</c:v>
                </c:pt>
                <c:pt idx="2">
                  <c:v>29.991765487145432</c:v>
                </c:pt>
                <c:pt idx="3">
                  <c:v>51.869338772412476</c:v>
                </c:pt>
                <c:pt idx="4">
                  <c:v>72.36979413717863</c:v>
                </c:pt>
                <c:pt idx="5">
                  <c:v>79.580931600417415</c:v>
                </c:pt>
                <c:pt idx="6">
                  <c:v>92.186580969547478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09-40C6-A232-640E0A702F52}"/>
            </c:ext>
          </c:extLst>
        </c:ser>
        <c:ser>
          <c:idx val="1"/>
          <c:order val="1"/>
          <c:tx>
            <c:v>Hidroxilos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Scavengers!$S$20:$S$27</c:f>
              <c:numCache>
                <c:formatCode>General</c:formatCode>
                <c:ptCount val="8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75</c:v>
                </c:pt>
                <c:pt idx="7">
                  <c:v>90</c:v>
                </c:pt>
              </c:numCache>
            </c:numRef>
          </c:xVal>
          <c:yVal>
            <c:numRef>
              <c:f>Scavengers!$W$20:$W$27</c:f>
              <c:numCache>
                <c:formatCode>0.000</c:formatCode>
                <c:ptCount val="8"/>
                <c:pt idx="0">
                  <c:v>0</c:v>
                </c:pt>
                <c:pt idx="1">
                  <c:v>2.0533407161314332</c:v>
                </c:pt>
                <c:pt idx="2">
                  <c:v>7.1936138796604059</c:v>
                </c:pt>
                <c:pt idx="3">
                  <c:v>16.694352159468444</c:v>
                </c:pt>
                <c:pt idx="4">
                  <c:v>20.62107788851975</c:v>
                </c:pt>
                <c:pt idx="5">
                  <c:v>24.653931339977849</c:v>
                </c:pt>
                <c:pt idx="6">
                  <c:v>27.371723883351795</c:v>
                </c:pt>
                <c:pt idx="7">
                  <c:v>33.421004060538948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409-40C6-A232-640E0A702F52}"/>
            </c:ext>
          </c:extLst>
        </c:ser>
        <c:ser>
          <c:idx val="2"/>
          <c:order val="2"/>
          <c:tx>
            <c:v>Singlete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Scavengers!$AN$32:$AN$39</c:f>
              <c:numCache>
                <c:formatCode>General</c:formatCode>
                <c:ptCount val="8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75</c:v>
                </c:pt>
                <c:pt idx="7">
                  <c:v>90</c:v>
                </c:pt>
              </c:numCache>
            </c:numRef>
          </c:xVal>
          <c:yVal>
            <c:numRef>
              <c:f>Scavengers!$AR$32:$AR$39</c:f>
              <c:numCache>
                <c:formatCode>0.00</c:formatCode>
                <c:ptCount val="8"/>
                <c:pt idx="0">
                  <c:v>0</c:v>
                </c:pt>
                <c:pt idx="1">
                  <c:v>0.58180453244497754</c:v>
                </c:pt>
                <c:pt idx="2">
                  <c:v>3.5424388870642392</c:v>
                </c:pt>
                <c:pt idx="3">
                  <c:v>10.913526955379343</c:v>
                </c:pt>
                <c:pt idx="4">
                  <c:v>17.885797400647494</c:v>
                </c:pt>
                <c:pt idx="5">
                  <c:v>19.223009430863794</c:v>
                </c:pt>
                <c:pt idx="6">
                  <c:v>24.956599258668412</c:v>
                </c:pt>
                <c:pt idx="7">
                  <c:v>29.7611786233754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409-40C6-A232-640E0A702F52}"/>
            </c:ext>
          </c:extLst>
        </c:ser>
        <c:ser>
          <c:idx val="4"/>
          <c:order val="4"/>
          <c:tx>
            <c:v>Superoxidos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Scavengers!$AG$22:$AG$29</c:f>
              <c:numCache>
                <c:formatCode>General</c:formatCode>
                <c:ptCount val="8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75</c:v>
                </c:pt>
                <c:pt idx="7">
                  <c:v>90</c:v>
                </c:pt>
              </c:numCache>
            </c:numRef>
          </c:xVal>
          <c:yVal>
            <c:numRef>
              <c:f>Scavengers!$AK$22:$AK$29</c:f>
              <c:numCache>
                <c:formatCode>0.00</c:formatCode>
                <c:ptCount val="8"/>
                <c:pt idx="0">
                  <c:v>0</c:v>
                </c:pt>
                <c:pt idx="1">
                  <c:v>10.082082944456404</c:v>
                </c:pt>
                <c:pt idx="2">
                  <c:v>26.546533610931622</c:v>
                </c:pt>
                <c:pt idx="3">
                  <c:v>43.289594193954322</c:v>
                </c:pt>
                <c:pt idx="4">
                  <c:v>64.486176547590389</c:v>
                </c:pt>
                <c:pt idx="5">
                  <c:v>70.00970037262573</c:v>
                </c:pt>
                <c:pt idx="6">
                  <c:v>74.745513366951627</c:v>
                </c:pt>
                <c:pt idx="7">
                  <c:v>79.939630844599378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409-40C6-A232-640E0A702F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7135456"/>
        <c:axId val="1617152256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v>Superoxidos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Scavengers!$Z$8:$Z$16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</c:v>
                      </c:pt>
                      <c:pt idx="1">
                        <c:v>5</c:v>
                      </c:pt>
                      <c:pt idx="2">
                        <c:v>10</c:v>
                      </c:pt>
                      <c:pt idx="3">
                        <c:v>15</c:v>
                      </c:pt>
                      <c:pt idx="4">
                        <c:v>30</c:v>
                      </c:pt>
                      <c:pt idx="5">
                        <c:v>45</c:v>
                      </c:pt>
                      <c:pt idx="6">
                        <c:v>60</c:v>
                      </c:pt>
                      <c:pt idx="7">
                        <c:v>75</c:v>
                      </c:pt>
                      <c:pt idx="8">
                        <c:v>90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Scavengers!$AD$8:$AD$16</c15:sqref>
                        </c15:formulaRef>
                      </c:ext>
                    </c:extLst>
                    <c:numCache>
                      <c:formatCode>0.00</c:formatCode>
                      <c:ptCount val="9"/>
                      <c:pt idx="0">
                        <c:v>0</c:v>
                      </c:pt>
                      <c:pt idx="1">
                        <c:v>4.842331804996733</c:v>
                      </c:pt>
                      <c:pt idx="2">
                        <c:v>14.56442406662301</c:v>
                      </c:pt>
                      <c:pt idx="3">
                        <c:v>22.087583044820811</c:v>
                      </c:pt>
                      <c:pt idx="4">
                        <c:v>36.98886497613924</c:v>
                      </c:pt>
                      <c:pt idx="5">
                        <c:v>43.9833442500234</c:v>
                      </c:pt>
                      <c:pt idx="6">
                        <c:v>51.983718536539726</c:v>
                      </c:pt>
                      <c:pt idx="7">
                        <c:v>56.189763263778424</c:v>
                      </c:pt>
                      <c:pt idx="8">
                        <c:v>61.888275474876018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F409-40C6-A232-640E0A702F52}"/>
                  </c:ext>
                </c:extLst>
              </c15:ser>
            </c15:filteredScatterSeries>
          </c:ext>
        </c:extLst>
      </c:scatterChart>
      <c:valAx>
        <c:axId val="1617135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Tiempo</a:t>
                </a:r>
                <a:r>
                  <a:rPr lang="es-ES" baseline="0"/>
                  <a:t> (min)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617152256"/>
        <c:crosses val="autoZero"/>
        <c:crossBetween val="midCat"/>
      </c:valAx>
      <c:valAx>
        <c:axId val="1617152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Degradación</a:t>
                </a:r>
                <a:r>
                  <a:rPr lang="es-ES" baseline="0"/>
                  <a:t> (%)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6171354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EF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Scavengers!$J$8:$J$14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90</c:v>
                </c:pt>
              </c:numCache>
            </c:numRef>
          </c:xVal>
          <c:yVal>
            <c:numRef>
              <c:f>Scavengers!$O$8:$O$14</c:f>
              <c:numCache>
                <c:formatCode>0.00</c:formatCode>
                <c:ptCount val="7"/>
                <c:pt idx="0">
                  <c:v>1</c:v>
                </c:pt>
                <c:pt idx="1">
                  <c:v>0.89412769186984165</c:v>
                </c:pt>
                <c:pt idx="2">
                  <c:v>0.70008234512854572</c:v>
                </c:pt>
                <c:pt idx="3">
                  <c:v>0.48130661227587518</c:v>
                </c:pt>
                <c:pt idx="4">
                  <c:v>0.27630205862821366</c:v>
                </c:pt>
                <c:pt idx="5">
                  <c:v>0.20419068399582582</c:v>
                </c:pt>
                <c:pt idx="6">
                  <c:v>7.8134190304525189E-2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748-4867-8EB8-80ECEB0B6F4D}"/>
            </c:ext>
          </c:extLst>
        </c:ser>
        <c:ser>
          <c:idx val="1"/>
          <c:order val="1"/>
          <c:tx>
            <c:v>Hidroxilos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Scavengers!$S$20:$S$27</c:f>
              <c:numCache>
                <c:formatCode>General</c:formatCode>
                <c:ptCount val="8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75</c:v>
                </c:pt>
                <c:pt idx="7">
                  <c:v>90</c:v>
                </c:pt>
              </c:numCache>
            </c:numRef>
          </c:xVal>
          <c:yVal>
            <c:numRef>
              <c:f>Scavengers!$V$20:$V$27</c:f>
              <c:numCache>
                <c:formatCode>0.000</c:formatCode>
                <c:ptCount val="8"/>
                <c:pt idx="0">
                  <c:v>1</c:v>
                </c:pt>
                <c:pt idx="1">
                  <c:v>0.97946659283868565</c:v>
                </c:pt>
                <c:pt idx="2">
                  <c:v>0.9280638612033959</c:v>
                </c:pt>
                <c:pt idx="3">
                  <c:v>0.8330564784053156</c:v>
                </c:pt>
                <c:pt idx="4">
                  <c:v>0.79378922111480255</c:v>
                </c:pt>
                <c:pt idx="5">
                  <c:v>0.75346068660022147</c:v>
                </c:pt>
                <c:pt idx="6">
                  <c:v>0.72628276116648205</c:v>
                </c:pt>
                <c:pt idx="7">
                  <c:v>0.6657899593946105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748-4867-8EB8-80ECEB0B6F4D}"/>
            </c:ext>
          </c:extLst>
        </c:ser>
        <c:ser>
          <c:idx val="2"/>
          <c:order val="2"/>
          <c:tx>
            <c:v>Singlete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Scavengers!$AN$32:$AN$39</c:f>
              <c:numCache>
                <c:formatCode>General</c:formatCode>
                <c:ptCount val="8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75</c:v>
                </c:pt>
                <c:pt idx="7">
                  <c:v>90</c:v>
                </c:pt>
              </c:numCache>
            </c:numRef>
          </c:xVal>
          <c:yVal>
            <c:numRef>
              <c:f>Scavengers!$AQ$32:$AQ$39</c:f>
              <c:numCache>
                <c:formatCode>0.00</c:formatCode>
                <c:ptCount val="8"/>
                <c:pt idx="0">
                  <c:v>1</c:v>
                </c:pt>
                <c:pt idx="1">
                  <c:v>0.99418195467555026</c:v>
                </c:pt>
                <c:pt idx="2">
                  <c:v>0.96457561112935764</c:v>
                </c:pt>
                <c:pt idx="3">
                  <c:v>0.89086473044620662</c:v>
                </c:pt>
                <c:pt idx="4">
                  <c:v>0.82114202599352504</c:v>
                </c:pt>
                <c:pt idx="5">
                  <c:v>0.80776990569136209</c:v>
                </c:pt>
                <c:pt idx="6">
                  <c:v>0.7504340074133159</c:v>
                </c:pt>
                <c:pt idx="7">
                  <c:v>0.70238821376624605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748-4867-8EB8-80ECEB0B6F4D}"/>
            </c:ext>
          </c:extLst>
        </c:ser>
        <c:ser>
          <c:idx val="4"/>
          <c:order val="3"/>
          <c:tx>
            <c:v>Superoxidos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Scavengers!$AG$22:$AG$29</c:f>
              <c:numCache>
                <c:formatCode>General</c:formatCode>
                <c:ptCount val="8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75</c:v>
                </c:pt>
                <c:pt idx="7">
                  <c:v>90</c:v>
                </c:pt>
              </c:numCache>
            </c:numRef>
          </c:xVal>
          <c:yVal>
            <c:numRef>
              <c:f>Scavengers!$AJ$22:$AJ$29</c:f>
              <c:numCache>
                <c:formatCode>0.00</c:formatCode>
                <c:ptCount val="8"/>
                <c:pt idx="0">
                  <c:v>1</c:v>
                </c:pt>
                <c:pt idx="1">
                  <c:v>0.89917917055543595</c:v>
                </c:pt>
                <c:pt idx="2">
                  <c:v>0.73453466389068378</c:v>
                </c:pt>
                <c:pt idx="3">
                  <c:v>0.56710405806045683</c:v>
                </c:pt>
                <c:pt idx="4">
                  <c:v>0.3551382345240961</c:v>
                </c:pt>
                <c:pt idx="5">
                  <c:v>0.29990299627374267</c:v>
                </c:pt>
                <c:pt idx="6">
                  <c:v>0.25254486633048373</c:v>
                </c:pt>
                <c:pt idx="7">
                  <c:v>0.20060369155400617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748-4867-8EB8-80ECEB0B6F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7135456"/>
        <c:axId val="1617152256"/>
        <c:extLst/>
      </c:scatterChart>
      <c:valAx>
        <c:axId val="1617135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Tiempo</a:t>
                </a:r>
                <a:r>
                  <a:rPr lang="es-ES" baseline="0"/>
                  <a:t> (min)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617152256"/>
        <c:crosses val="autoZero"/>
        <c:crossBetween val="midCat"/>
      </c:valAx>
      <c:valAx>
        <c:axId val="16171522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C/C</a:t>
                </a:r>
                <a:r>
                  <a:rPr lang="es-ES" baseline="-25000"/>
                  <a:t>0</a:t>
                </a:r>
              </a:p>
            </c:rich>
          </c:tx>
          <c:layout>
            <c:manualLayout>
              <c:xMode val="edge"/>
              <c:yMode val="edge"/>
              <c:x val="1.5684595545327865E-2"/>
              <c:y val="0.366871991982922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6171354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</c:trendlineLbl>
          </c:trendline>
          <c:xVal>
            <c:numRef>
              <c:f>Scavengers!$S$20:$S$27</c:f>
              <c:numCache>
                <c:formatCode>General</c:formatCode>
                <c:ptCount val="8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75</c:v>
                </c:pt>
                <c:pt idx="7">
                  <c:v>90</c:v>
                </c:pt>
              </c:numCache>
            </c:numRef>
          </c:xVal>
          <c:yVal>
            <c:numRef>
              <c:f>Scavengers!$X$20:$X$27</c:f>
              <c:numCache>
                <c:formatCode>General</c:formatCode>
                <c:ptCount val="8"/>
                <c:pt idx="0">
                  <c:v>0</c:v>
                </c:pt>
                <c:pt idx="1">
                  <c:v>2.0747148520487327E-2</c:v>
                </c:pt>
                <c:pt idx="2">
                  <c:v>7.4654732611710239E-2</c:v>
                </c:pt>
                <c:pt idx="3">
                  <c:v>0.18265383790683082</c:v>
                </c:pt>
                <c:pt idx="4">
                  <c:v>0.23093731756789176</c:v>
                </c:pt>
                <c:pt idx="5">
                  <c:v>0.28307843666262134</c:v>
                </c:pt>
                <c:pt idx="6">
                  <c:v>0.31981586179353688</c:v>
                </c:pt>
                <c:pt idx="7">
                  <c:v>0.40678103446767538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9B-4D4B-A8B6-D6FAA09A6F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1975664"/>
        <c:axId val="2091978064"/>
      </c:scatterChart>
      <c:valAx>
        <c:axId val="2091975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91978064"/>
        <c:crosses val="autoZero"/>
        <c:crossBetween val="midCat"/>
      </c:valAx>
      <c:valAx>
        <c:axId val="209197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91975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540156</xdr:colOff>
      <xdr:row>17</xdr:row>
      <xdr:rowOff>29333</xdr:rowOff>
    </xdr:from>
    <xdr:to>
      <xdr:col>8</xdr:col>
      <xdr:colOff>78537</xdr:colOff>
      <xdr:row>31</xdr:row>
      <xdr:rowOff>102988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893F59DE-7DE2-069A-ADF3-BA2ED9535F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395111</xdr:colOff>
      <xdr:row>17</xdr:row>
      <xdr:rowOff>0</xdr:rowOff>
    </xdr:from>
    <xdr:to>
      <xdr:col>14</xdr:col>
      <xdr:colOff>455603</xdr:colOff>
      <xdr:row>31</xdr:row>
      <xdr:rowOff>73655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A5CC773-274A-4A99-9E02-124BA6EE4D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306126</xdr:colOff>
      <xdr:row>27</xdr:row>
      <xdr:rowOff>135340</xdr:rowOff>
    </xdr:from>
    <xdr:to>
      <xdr:col>21</xdr:col>
      <xdr:colOff>1172380</xdr:colOff>
      <xdr:row>42</xdr:row>
      <xdr:rowOff>139510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CA6CD7E-5B8D-F600-E044-8E8C2A349A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643A5-FA01-46F4-88F6-566CF804148C}">
  <dimension ref="B2:AR45"/>
  <sheetViews>
    <sheetView tabSelected="1" zoomScale="67" workbookViewId="0">
      <selection activeCell="J32" sqref="J32"/>
    </sheetView>
  </sheetViews>
  <sheetFormatPr defaultColWidth="11.42578125" defaultRowHeight="15"/>
  <cols>
    <col min="4" max="4" width="12.140625" customWidth="1"/>
    <col min="5" max="5" width="22.7109375" customWidth="1"/>
    <col min="6" max="6" width="20.85546875" customWidth="1"/>
    <col min="7" max="7" width="19.85546875" customWidth="1"/>
    <col min="8" max="8" width="20.140625" customWidth="1"/>
    <col min="14" max="15" width="25" customWidth="1"/>
    <col min="16" max="16" width="18.7109375" customWidth="1"/>
    <col min="19" max="19" width="16.42578125" customWidth="1"/>
    <col min="21" max="22" width="21.28515625" customWidth="1"/>
    <col min="23" max="23" width="17.42578125" customWidth="1"/>
    <col min="26" max="26" width="13.7109375" customWidth="1"/>
    <col min="27" max="27" width="13.28515625" customWidth="1"/>
    <col min="28" max="29" width="21.28515625" customWidth="1"/>
    <col min="30" max="30" width="18.85546875" customWidth="1"/>
    <col min="33" max="33" width="12.7109375" customWidth="1"/>
    <col min="35" max="36" width="19.7109375" customWidth="1"/>
    <col min="37" max="37" width="15.7109375" customWidth="1"/>
    <col min="39" max="39" width="19.7109375" customWidth="1"/>
    <col min="40" max="40" width="15.85546875" customWidth="1"/>
    <col min="42" max="43" width="21.28515625" customWidth="1"/>
    <col min="44" max="44" width="18" customWidth="1"/>
    <col min="45" max="45" width="21.140625" customWidth="1"/>
    <col min="46" max="46" width="17.85546875" customWidth="1"/>
  </cols>
  <sheetData>
    <row r="2" spans="2:44">
      <c r="B2" t="s">
        <v>0</v>
      </c>
    </row>
    <row r="3" spans="2:44" ht="18">
      <c r="B3" t="s">
        <v>1</v>
      </c>
    </row>
    <row r="4" spans="2:44">
      <c r="S4" t="s">
        <v>2</v>
      </c>
      <c r="Z4" t="s">
        <v>3</v>
      </c>
      <c r="AG4" t="s">
        <v>4</v>
      </c>
      <c r="AN4" t="s">
        <v>5</v>
      </c>
    </row>
    <row r="5" spans="2:44" ht="15.75" thickBot="1"/>
    <row r="6" spans="2:44" ht="15.75" thickBot="1">
      <c r="B6" s="46" t="s">
        <v>6</v>
      </c>
      <c r="C6" s="47"/>
      <c r="D6" s="47"/>
      <c r="E6" s="47"/>
      <c r="F6" s="47"/>
      <c r="G6" s="48"/>
      <c r="J6" s="49" t="s">
        <v>7</v>
      </c>
      <c r="K6" s="50"/>
      <c r="L6" s="50"/>
      <c r="M6" s="50"/>
      <c r="N6" s="50"/>
      <c r="O6" s="50"/>
      <c r="P6" s="51"/>
      <c r="S6" s="40" t="s">
        <v>8</v>
      </c>
      <c r="T6" s="41"/>
      <c r="U6" s="41"/>
      <c r="V6" s="41"/>
      <c r="W6" s="42"/>
      <c r="Z6" s="40" t="s">
        <v>9</v>
      </c>
      <c r="AA6" s="41"/>
      <c r="AB6" s="41"/>
      <c r="AC6" s="41"/>
      <c r="AD6" s="42"/>
      <c r="AG6" s="40" t="s">
        <v>10</v>
      </c>
      <c r="AH6" s="41"/>
      <c r="AI6" s="41"/>
      <c r="AJ6" s="41"/>
      <c r="AK6" s="42"/>
      <c r="AN6" s="40" t="s">
        <v>11</v>
      </c>
      <c r="AO6" s="41"/>
      <c r="AP6" s="41"/>
      <c r="AQ6" s="41"/>
      <c r="AR6" s="42"/>
    </row>
    <row r="7" spans="2:44" ht="18.75" thickBot="1">
      <c r="B7" s="11" t="s">
        <v>12</v>
      </c>
      <c r="C7" s="12" t="s">
        <v>13</v>
      </c>
      <c r="D7" s="12" t="s">
        <v>14</v>
      </c>
      <c r="E7" s="12" t="s">
        <v>15</v>
      </c>
      <c r="F7" s="12" t="s">
        <v>16</v>
      </c>
      <c r="G7" s="13" t="s">
        <v>17</v>
      </c>
      <c r="J7" s="1" t="s">
        <v>12</v>
      </c>
      <c r="K7" s="2" t="s">
        <v>13</v>
      </c>
      <c r="L7" s="2" t="s">
        <v>14</v>
      </c>
      <c r="M7" s="2" t="s">
        <v>15</v>
      </c>
      <c r="N7" s="2" t="s">
        <v>16</v>
      </c>
      <c r="O7" s="2" t="s">
        <v>18</v>
      </c>
      <c r="P7" s="10" t="s">
        <v>17</v>
      </c>
      <c r="S7" s="1" t="s">
        <v>19</v>
      </c>
      <c r="T7" s="2" t="s">
        <v>15</v>
      </c>
      <c r="U7" s="2" t="s">
        <v>20</v>
      </c>
      <c r="V7" s="2" t="s">
        <v>18</v>
      </c>
      <c r="W7" s="10" t="s">
        <v>17</v>
      </c>
      <c r="Z7" s="1" t="s">
        <v>19</v>
      </c>
      <c r="AA7" s="2" t="s">
        <v>21</v>
      </c>
      <c r="AB7" s="2" t="s">
        <v>20</v>
      </c>
      <c r="AC7" s="2" t="s">
        <v>18</v>
      </c>
      <c r="AD7" s="10" t="s">
        <v>17</v>
      </c>
      <c r="AG7" s="1" t="s">
        <v>19</v>
      </c>
      <c r="AH7" s="2" t="s">
        <v>15</v>
      </c>
      <c r="AI7" s="2" t="s">
        <v>20</v>
      </c>
      <c r="AJ7" s="2" t="s">
        <v>18</v>
      </c>
      <c r="AK7" s="10" t="s">
        <v>17</v>
      </c>
      <c r="AN7" s="35" t="s">
        <v>19</v>
      </c>
      <c r="AO7" s="34" t="s">
        <v>15</v>
      </c>
      <c r="AP7" s="34" t="s">
        <v>20</v>
      </c>
      <c r="AQ7" s="34" t="s">
        <v>18</v>
      </c>
      <c r="AR7" s="7" t="s">
        <v>17</v>
      </c>
    </row>
    <row r="8" spans="2:44">
      <c r="B8" s="14">
        <v>0</v>
      </c>
      <c r="C8" s="15">
        <v>5.2</v>
      </c>
      <c r="D8" s="16">
        <v>25</v>
      </c>
      <c r="E8" s="15">
        <v>2095.1</v>
      </c>
      <c r="F8" s="15">
        <f>(E8)/219.63</f>
        <v>9.5392250603287341</v>
      </c>
      <c r="G8" s="20">
        <f t="shared" ref="G8:G14" si="0">($F$8-F8)/$F$8*100</f>
        <v>0</v>
      </c>
      <c r="J8" s="28">
        <v>0</v>
      </c>
      <c r="K8" s="32">
        <v>5.4</v>
      </c>
      <c r="L8" s="29">
        <v>25</v>
      </c>
      <c r="M8" s="32">
        <v>2108.1999999999998</v>
      </c>
      <c r="N8" s="32">
        <f>(M8)/219.63</f>
        <v>9.5988708282110817</v>
      </c>
      <c r="O8" s="32">
        <f>N8/$N$8</f>
        <v>1</v>
      </c>
      <c r="P8" s="33">
        <f t="shared" ref="P8:P14" si="1">($N$8-N8)/$N$8*100</f>
        <v>0</v>
      </c>
      <c r="S8" s="28">
        <v>0</v>
      </c>
      <c r="T8" s="29">
        <f>2471.1-389.5</f>
        <v>2081.6</v>
      </c>
      <c r="U8" s="32">
        <f>T8/219.63</f>
        <v>9.4777580476255512</v>
      </c>
      <c r="V8" s="32">
        <f>U8/$U$8</f>
        <v>1</v>
      </c>
      <c r="W8" s="33">
        <f t="shared" ref="W8:W16" si="2">($U$8-U8)/$U$8*100</f>
        <v>0</v>
      </c>
      <c r="Z8" s="28">
        <v>0</v>
      </c>
      <c r="AA8" s="29">
        <f>2526.9-389.5</f>
        <v>2137.4</v>
      </c>
      <c r="AB8" s="32">
        <f>AA8/219.63</f>
        <v>9.7318217001320413</v>
      </c>
      <c r="AC8" s="32">
        <f>AB8/$AB$8</f>
        <v>1</v>
      </c>
      <c r="AD8" s="33">
        <f t="shared" ref="AD8:AD16" si="3">($AB$8-AB8)/$AB$8*100</f>
        <v>0</v>
      </c>
      <c r="AG8" s="28">
        <v>0</v>
      </c>
      <c r="AH8" s="29">
        <f>2433.9-392.6</f>
        <v>2041.3000000000002</v>
      </c>
      <c r="AI8" s="32">
        <f>AH8/219.63</f>
        <v>9.2942676319264219</v>
      </c>
      <c r="AJ8" s="32">
        <f>AI8/$AI$8</f>
        <v>1</v>
      </c>
      <c r="AK8" s="33">
        <f t="shared" ref="AK8:AK15" si="4">($AI$8-AI8)/$AI$8*100</f>
        <v>0</v>
      </c>
      <c r="AN8" s="28">
        <v>0</v>
      </c>
      <c r="AO8" s="29">
        <f>2408.5-350.8</f>
        <v>2057.6999999999998</v>
      </c>
      <c r="AP8" s="32">
        <f>AO8/219.63</f>
        <v>9.3689386695806576</v>
      </c>
      <c r="AQ8" s="32">
        <f>AP8/$AP$8</f>
        <v>1</v>
      </c>
      <c r="AR8" s="33">
        <f t="shared" ref="AR8:AR16" si="5">($AP$8-AP8)/$AP$8*100</f>
        <v>0</v>
      </c>
    </row>
    <row r="9" spans="2:44">
      <c r="B9" s="14">
        <v>5</v>
      </c>
      <c r="C9" s="15">
        <v>5.3</v>
      </c>
      <c r="D9" s="16">
        <v>25</v>
      </c>
      <c r="E9" s="15">
        <v>1951.6</v>
      </c>
      <c r="F9" s="15">
        <f t="shared" ref="F9:F14" si="6">(E9)/219.63</f>
        <v>8.8858534808541627</v>
      </c>
      <c r="G9" s="20">
        <f t="shared" si="0"/>
        <v>6.8493150684931559</v>
      </c>
      <c r="J9" s="3">
        <v>5</v>
      </c>
      <c r="K9" s="8">
        <v>5.4</v>
      </c>
      <c r="L9" s="9">
        <v>25</v>
      </c>
      <c r="M9" s="8">
        <v>1885</v>
      </c>
      <c r="N9" s="8">
        <f>(M9)/219.63</f>
        <v>8.5826162181851302</v>
      </c>
      <c r="O9" s="8">
        <f t="shared" ref="O9:O14" si="7">N9/$N$8</f>
        <v>0.89412769186984165</v>
      </c>
      <c r="P9" s="24">
        <f t="shared" si="1"/>
        <v>10.587230813015831</v>
      </c>
      <c r="S9" s="3">
        <v>5</v>
      </c>
      <c r="T9" s="9">
        <f>2460-389.5</f>
        <v>2070.5</v>
      </c>
      <c r="U9" s="8">
        <f t="shared" ref="U9:U16" si="8">T9/219.63</f>
        <v>9.4272185038473797</v>
      </c>
      <c r="V9" s="8">
        <f t="shared" ref="V9:V16" si="9">U9/$U$8</f>
        <v>0.99466756341275953</v>
      </c>
      <c r="W9" s="24">
        <f t="shared" si="2"/>
        <v>0.53324365872404911</v>
      </c>
      <c r="Z9" s="3">
        <v>5</v>
      </c>
      <c r="AA9" s="9">
        <f>2423.4-389.5</f>
        <v>2033.9</v>
      </c>
      <c r="AB9" s="8">
        <f t="shared" ref="AB9:AB16" si="10">AA9/219.63</f>
        <v>9.2605746027409737</v>
      </c>
      <c r="AC9" s="8">
        <f t="shared" ref="AC9:AC16" si="11">AB9/$AB$8</f>
        <v>0.95157668195003264</v>
      </c>
      <c r="AD9" s="24">
        <f t="shared" si="3"/>
        <v>4.842331804996733</v>
      </c>
      <c r="AG9" s="3">
        <v>5</v>
      </c>
      <c r="AH9" s="9">
        <f>2261.4-392.6</f>
        <v>1868.8000000000002</v>
      </c>
      <c r="AI9" s="8">
        <f t="shared" ref="AI9" si="12">AH9/219.63</f>
        <v>8.5088558029413122</v>
      </c>
      <c r="AJ9" s="8">
        <f t="shared" ref="AJ9:AJ15" si="13">AI9/$AI$8</f>
        <v>0.91549502767844038</v>
      </c>
      <c r="AK9" s="24">
        <f t="shared" si="4"/>
        <v>8.4504972321559624</v>
      </c>
      <c r="AN9" s="3">
        <v>5</v>
      </c>
      <c r="AO9" s="9">
        <f>2109.7-350.8</f>
        <v>1758.8999999999999</v>
      </c>
      <c r="AP9" s="8">
        <f t="shared" ref="AP9:AP16" si="14">AO9/219.63</f>
        <v>8.0084687884168826</v>
      </c>
      <c r="AQ9" s="8">
        <f t="shared" ref="AQ9:AQ16" si="15">AP9/$AP$8</f>
        <v>0.8547893278903631</v>
      </c>
      <c r="AR9" s="24">
        <f t="shared" si="5"/>
        <v>14.521067210963693</v>
      </c>
    </row>
    <row r="10" spans="2:44">
      <c r="B10" s="14">
        <v>15</v>
      </c>
      <c r="C10" s="15">
        <v>5.3</v>
      </c>
      <c r="D10" s="16">
        <v>25</v>
      </c>
      <c r="E10" s="15">
        <v>1719.3</v>
      </c>
      <c r="F10" s="15">
        <f t="shared" si="6"/>
        <v>7.8281655511542141</v>
      </c>
      <c r="G10" s="20">
        <f t="shared" si="0"/>
        <v>17.937091308290768</v>
      </c>
      <c r="J10" s="3">
        <v>15</v>
      </c>
      <c r="K10" s="8">
        <v>5.3</v>
      </c>
      <c r="L10" s="9">
        <v>25</v>
      </c>
      <c r="M10" s="8">
        <v>1519.6</v>
      </c>
      <c r="N10" s="8">
        <v>6.72</v>
      </c>
      <c r="O10" s="8">
        <f t="shared" si="7"/>
        <v>0.70008234512854572</v>
      </c>
      <c r="P10" s="24">
        <f t="shared" si="1"/>
        <v>29.991765487145432</v>
      </c>
      <c r="S10" s="3">
        <v>10</v>
      </c>
      <c r="T10" s="9">
        <f>2310.1-389.5</f>
        <v>1920.6</v>
      </c>
      <c r="U10" s="8">
        <f t="shared" si="8"/>
        <v>8.7447070072394482</v>
      </c>
      <c r="V10" s="8">
        <f t="shared" si="9"/>
        <v>0.92265564950038437</v>
      </c>
      <c r="W10" s="24">
        <f t="shared" si="2"/>
        <v>7.7344350499615588</v>
      </c>
      <c r="Z10" s="3">
        <v>10</v>
      </c>
      <c r="AA10" s="9">
        <f>2215.6-389.5</f>
        <v>1826.1</v>
      </c>
      <c r="AB10" s="8">
        <f t="shared" si="10"/>
        <v>8.3144379183171697</v>
      </c>
      <c r="AC10" s="8">
        <f t="shared" si="11"/>
        <v>0.85435575933376995</v>
      </c>
      <c r="AD10" s="24">
        <f t="shared" si="3"/>
        <v>14.56442406662301</v>
      </c>
      <c r="AG10" s="3">
        <v>15</v>
      </c>
      <c r="AH10" s="9">
        <f>2164.4-392.6</f>
        <v>1771.8000000000002</v>
      </c>
      <c r="AI10" s="8">
        <f t="shared" ref="AI10:AI15" si="16">AH10/219.63</f>
        <v>8.0672039338888144</v>
      </c>
      <c r="AJ10" s="8">
        <f t="shared" si="13"/>
        <v>0.86797628961936035</v>
      </c>
      <c r="AK10" s="24">
        <f t="shared" si="4"/>
        <v>13.202371038063966</v>
      </c>
      <c r="AN10" s="3">
        <v>10</v>
      </c>
      <c r="AO10" s="9">
        <f>2108-350.8</f>
        <v>1757.2</v>
      </c>
      <c r="AP10" s="8">
        <f t="shared" si="14"/>
        <v>8.0007284979283337</v>
      </c>
      <c r="AQ10" s="8">
        <f t="shared" si="15"/>
        <v>0.85396316275453177</v>
      </c>
      <c r="AR10" s="24">
        <f t="shared" si="5"/>
        <v>14.603683724546821</v>
      </c>
    </row>
    <row r="11" spans="2:44">
      <c r="B11" s="14">
        <v>30</v>
      </c>
      <c r="C11" s="15">
        <v>5.3</v>
      </c>
      <c r="D11" s="16">
        <v>25</v>
      </c>
      <c r="E11" s="15">
        <v>1451.1</v>
      </c>
      <c r="F11" s="15">
        <f t="shared" si="6"/>
        <v>6.6070208987843184</v>
      </c>
      <c r="G11" s="20">
        <f t="shared" si="0"/>
        <v>30.738389575676585</v>
      </c>
      <c r="J11" s="3">
        <v>30</v>
      </c>
      <c r="K11" s="8">
        <v>5.3</v>
      </c>
      <c r="L11" s="9">
        <v>25</v>
      </c>
      <c r="M11" s="8">
        <v>1028.4000000000001</v>
      </c>
      <c r="N11" s="8">
        <v>4.62</v>
      </c>
      <c r="O11" s="8">
        <f t="shared" si="7"/>
        <v>0.48130661227587518</v>
      </c>
      <c r="P11" s="24">
        <f t="shared" si="1"/>
        <v>51.869338772412476</v>
      </c>
      <c r="S11" s="3">
        <v>15</v>
      </c>
      <c r="T11" s="9">
        <f>2244.5-389.5</f>
        <v>1855</v>
      </c>
      <c r="U11" s="8">
        <f t="shared" si="8"/>
        <v>8.446022856622502</v>
      </c>
      <c r="V11" s="8">
        <f t="shared" si="9"/>
        <v>0.89114142966948517</v>
      </c>
      <c r="W11" s="24">
        <f t="shared" si="2"/>
        <v>10.885857033051485</v>
      </c>
      <c r="Z11" s="3">
        <v>15</v>
      </c>
      <c r="AA11" s="9">
        <f>2054.8-389.5</f>
        <v>1665.3000000000002</v>
      </c>
      <c r="AB11" s="8">
        <f t="shared" si="10"/>
        <v>7.5822975003414843</v>
      </c>
      <c r="AC11" s="8">
        <f t="shared" si="11"/>
        <v>0.77912416955179187</v>
      </c>
      <c r="AD11" s="24">
        <f t="shared" si="3"/>
        <v>22.087583044820811</v>
      </c>
      <c r="AG11" s="3">
        <v>30</v>
      </c>
      <c r="AH11" s="9">
        <f>1988.3-392.6</f>
        <v>1595.6999999999998</v>
      </c>
      <c r="AI11" s="8">
        <f t="shared" si="16"/>
        <v>7.2654009015161858</v>
      </c>
      <c r="AJ11" s="8">
        <f t="shared" si="13"/>
        <v>0.78170773526674175</v>
      </c>
      <c r="AK11" s="24">
        <f t="shared" si="4"/>
        <v>21.829226473325829</v>
      </c>
      <c r="AN11" s="3">
        <v>15</v>
      </c>
      <c r="AO11" s="9">
        <f>2096.2-350.8</f>
        <v>1745.3999999999999</v>
      </c>
      <c r="AP11" s="8">
        <f t="shared" si="14"/>
        <v>7.9470017757136997</v>
      </c>
      <c r="AQ11" s="8">
        <f t="shared" si="15"/>
        <v>0.84822860475287942</v>
      </c>
      <c r="AR11" s="24">
        <f t="shared" si="5"/>
        <v>15.177139524712057</v>
      </c>
    </row>
    <row r="12" spans="2:44">
      <c r="B12" s="14">
        <v>45</v>
      </c>
      <c r="C12" s="15">
        <v>5.4</v>
      </c>
      <c r="D12" s="16">
        <v>25</v>
      </c>
      <c r="E12" s="15">
        <v>1215.8</v>
      </c>
      <c r="F12" s="15">
        <f t="shared" si="6"/>
        <v>5.5356736329281064</v>
      </c>
      <c r="G12" s="20">
        <f t="shared" si="0"/>
        <v>41.969357071261513</v>
      </c>
      <c r="J12" s="3">
        <v>45</v>
      </c>
      <c r="K12" s="8">
        <v>5.2</v>
      </c>
      <c r="L12" s="9">
        <v>25</v>
      </c>
      <c r="M12" s="8">
        <v>582.5</v>
      </c>
      <c r="N12" s="8">
        <f>(M12)/219.63</f>
        <v>2.6521877703410279</v>
      </c>
      <c r="O12" s="8">
        <f t="shared" si="7"/>
        <v>0.27630205862821366</v>
      </c>
      <c r="P12" s="24">
        <f t="shared" si="1"/>
        <v>72.36979413717863</v>
      </c>
      <c r="S12" s="3">
        <v>30</v>
      </c>
      <c r="T12" s="9">
        <f>1945.2-389.5</f>
        <v>1555.7</v>
      </c>
      <c r="U12" s="8">
        <f t="shared" si="8"/>
        <v>7.0832764194326829</v>
      </c>
      <c r="V12" s="8">
        <f t="shared" si="9"/>
        <v>0.74735780169100707</v>
      </c>
      <c r="W12" s="24">
        <f t="shared" si="2"/>
        <v>25.264219830899293</v>
      </c>
      <c r="Z12" s="3">
        <v>30</v>
      </c>
      <c r="AA12" s="9">
        <f>1736.3-389.5</f>
        <v>1346.8</v>
      </c>
      <c r="AB12" s="8">
        <f t="shared" si="10"/>
        <v>6.1321313117515821</v>
      </c>
      <c r="AC12" s="8">
        <f t="shared" si="11"/>
        <v>0.63011135023860754</v>
      </c>
      <c r="AD12" s="24">
        <f t="shared" si="3"/>
        <v>36.98886497613924</v>
      </c>
      <c r="AG12" s="3">
        <v>45</v>
      </c>
      <c r="AH12" s="9">
        <v>1397.7</v>
      </c>
      <c r="AI12" s="8">
        <f t="shared" si="16"/>
        <v>6.3638847152028415</v>
      </c>
      <c r="AJ12" s="8">
        <f t="shared" si="13"/>
        <v>0.6847107235585167</v>
      </c>
      <c r="AK12" s="24">
        <f t="shared" si="4"/>
        <v>31.528927644148336</v>
      </c>
      <c r="AN12" s="3">
        <v>30</v>
      </c>
      <c r="AO12" s="9">
        <f>1872.3-350.8</f>
        <v>1521.5</v>
      </c>
      <c r="AP12" s="8">
        <f t="shared" si="14"/>
        <v>6.9275599872512865</v>
      </c>
      <c r="AQ12" s="8">
        <f t="shared" si="15"/>
        <v>0.73941779656898488</v>
      </c>
      <c r="AR12" s="24">
        <f t="shared" si="5"/>
        <v>26.058220343101514</v>
      </c>
    </row>
    <row r="13" spans="2:44">
      <c r="B13" s="14">
        <v>60</v>
      </c>
      <c r="C13" s="15">
        <v>5.4</v>
      </c>
      <c r="D13" s="16">
        <v>25</v>
      </c>
      <c r="E13" s="15">
        <v>1036.4000000000001</v>
      </c>
      <c r="F13" s="15">
        <f t="shared" si="6"/>
        <v>4.7188453307835907</v>
      </c>
      <c r="G13" s="20">
        <f t="shared" si="0"/>
        <v>50.532194167342851</v>
      </c>
      <c r="J13" s="3">
        <v>60</v>
      </c>
      <c r="K13" s="8">
        <v>5.2</v>
      </c>
      <c r="L13" s="9">
        <v>25</v>
      </c>
      <c r="M13" s="8">
        <v>452.2</v>
      </c>
      <c r="N13" s="8">
        <v>1.96</v>
      </c>
      <c r="O13" s="8">
        <f t="shared" si="7"/>
        <v>0.20419068399582582</v>
      </c>
      <c r="P13" s="24">
        <f t="shared" si="1"/>
        <v>79.580931600417415</v>
      </c>
      <c r="S13" s="3">
        <v>45</v>
      </c>
      <c r="T13" s="9">
        <f>1658.5-389.5</f>
        <v>1269</v>
      </c>
      <c r="U13" s="8">
        <f t="shared" si="8"/>
        <v>5.7778991940991666</v>
      </c>
      <c r="V13" s="8">
        <f t="shared" si="9"/>
        <v>0.60962720983858576</v>
      </c>
      <c r="W13" s="24">
        <f t="shared" si="2"/>
        <v>39.037279016141426</v>
      </c>
      <c r="Z13" s="3">
        <v>45</v>
      </c>
      <c r="AA13" s="9">
        <f>1586.8-389.5</f>
        <v>1197.3</v>
      </c>
      <c r="AB13" s="8">
        <f t="shared" si="10"/>
        <v>5.4514410599644858</v>
      </c>
      <c r="AC13" s="8">
        <f t="shared" si="11"/>
        <v>0.56016655749976607</v>
      </c>
      <c r="AD13" s="24">
        <f t="shared" si="3"/>
        <v>43.9833442500234</v>
      </c>
      <c r="AG13" s="3">
        <v>60</v>
      </c>
      <c r="AH13" s="9">
        <f>1696.6-392.6</f>
        <v>1304</v>
      </c>
      <c r="AI13" s="8">
        <f t="shared" si="16"/>
        <v>5.9372581159222326</v>
      </c>
      <c r="AJ13" s="8">
        <f t="shared" si="13"/>
        <v>0.63880860236124037</v>
      </c>
      <c r="AK13" s="24">
        <f t="shared" si="4"/>
        <v>36.119139763875964</v>
      </c>
      <c r="AN13" s="3">
        <v>45</v>
      </c>
      <c r="AO13" s="9">
        <f>1640.5-350.8</f>
        <v>1289.7</v>
      </c>
      <c r="AP13" s="8">
        <f t="shared" si="14"/>
        <v>5.8721486135773802</v>
      </c>
      <c r="AQ13" s="8">
        <f t="shared" si="15"/>
        <v>0.62676775040093313</v>
      </c>
      <c r="AR13" s="24">
        <f t="shared" si="5"/>
        <v>37.323224959906689</v>
      </c>
    </row>
    <row r="14" spans="2:44" ht="15.75" thickBot="1">
      <c r="B14" s="17">
        <v>90</v>
      </c>
      <c r="C14" s="18">
        <v>5.4</v>
      </c>
      <c r="D14" s="19">
        <v>25</v>
      </c>
      <c r="E14" s="18">
        <v>729.5</v>
      </c>
      <c r="F14" s="18">
        <f t="shared" si="6"/>
        <v>3.3214952419979058</v>
      </c>
      <c r="G14" s="21">
        <f t="shared" si="0"/>
        <v>65.18065963438498</v>
      </c>
      <c r="J14" s="4">
        <v>90</v>
      </c>
      <c r="K14" s="5">
        <v>5.2</v>
      </c>
      <c r="L14" s="6">
        <v>25</v>
      </c>
      <c r="M14" s="5">
        <v>310.5</v>
      </c>
      <c r="N14" s="5">
        <v>0.75</v>
      </c>
      <c r="O14" s="5">
        <f t="shared" si="7"/>
        <v>7.8134190304525189E-2</v>
      </c>
      <c r="P14" s="25">
        <f t="shared" si="1"/>
        <v>92.186580969547478</v>
      </c>
      <c r="S14" s="3">
        <v>60</v>
      </c>
      <c r="T14" s="9">
        <f>1502.5-389.5</f>
        <v>1113</v>
      </c>
      <c r="U14" s="8">
        <f t="shared" si="8"/>
        <v>5.0676137139735014</v>
      </c>
      <c r="V14" s="8">
        <f t="shared" si="9"/>
        <v>0.53468485780169106</v>
      </c>
      <c r="W14" s="24">
        <f t="shared" si="2"/>
        <v>46.531514219830889</v>
      </c>
      <c r="Z14" s="3">
        <v>60</v>
      </c>
      <c r="AA14" s="9">
        <f>1415.8-389.5</f>
        <v>1026.3</v>
      </c>
      <c r="AB14" s="8">
        <f t="shared" si="10"/>
        <v>4.6728588990575055</v>
      </c>
      <c r="AC14" s="8">
        <f t="shared" si="11"/>
        <v>0.4801628146346027</v>
      </c>
      <c r="AD14" s="24">
        <f t="shared" si="3"/>
        <v>51.983718536539726</v>
      </c>
      <c r="AG14" s="3">
        <v>75</v>
      </c>
      <c r="AH14" s="9">
        <v>951.5</v>
      </c>
      <c r="AI14" s="8">
        <f t="shared" si="16"/>
        <v>4.3322861175613534</v>
      </c>
      <c r="AJ14" s="8">
        <f t="shared" si="13"/>
        <v>0.46612452848674868</v>
      </c>
      <c r="AK14" s="24">
        <f t="shared" si="4"/>
        <v>53.38754715132513</v>
      </c>
      <c r="AN14" s="3">
        <v>60</v>
      </c>
      <c r="AO14" s="9">
        <f>1410.1-350.8</f>
        <v>1059.3</v>
      </c>
      <c r="AP14" s="8">
        <f t="shared" si="14"/>
        <v>4.8231115967763962</v>
      </c>
      <c r="AQ14" s="8">
        <f t="shared" si="15"/>
        <v>0.51479807552121304</v>
      </c>
      <c r="AR14" s="24">
        <f t="shared" si="5"/>
        <v>48.520192447878699</v>
      </c>
    </row>
    <row r="15" spans="2:44" ht="15.75" thickBot="1">
      <c r="S15" s="3">
        <v>75</v>
      </c>
      <c r="T15" s="9">
        <f>1324.9-389.5</f>
        <v>935.40000000000009</v>
      </c>
      <c r="U15" s="8">
        <f t="shared" si="8"/>
        <v>4.2589810135227433</v>
      </c>
      <c r="V15" s="8">
        <f t="shared" si="9"/>
        <v>0.44936587240584175</v>
      </c>
      <c r="W15" s="24">
        <f t="shared" si="2"/>
        <v>55.063412759415819</v>
      </c>
      <c r="Z15" s="3">
        <v>75</v>
      </c>
      <c r="AA15" s="9">
        <f>1325.9-389.5</f>
        <v>936.40000000000009</v>
      </c>
      <c r="AB15" s="8">
        <f t="shared" si="10"/>
        <v>4.2635341255748305</v>
      </c>
      <c r="AC15" s="8">
        <f t="shared" si="11"/>
        <v>0.43810236736221575</v>
      </c>
      <c r="AD15" s="24">
        <f t="shared" si="3"/>
        <v>56.189763263778424</v>
      </c>
      <c r="AG15" s="4">
        <v>90</v>
      </c>
      <c r="AH15" s="6">
        <f>1255.1-392.6</f>
        <v>862.49999999999989</v>
      </c>
      <c r="AI15" s="5">
        <f t="shared" si="16"/>
        <v>3.9270591449255563</v>
      </c>
      <c r="AJ15" s="5">
        <f t="shared" si="13"/>
        <v>0.4225248616077989</v>
      </c>
      <c r="AK15" s="25">
        <f t="shared" si="4"/>
        <v>57.747513839220112</v>
      </c>
      <c r="AN15" s="3">
        <v>75</v>
      </c>
      <c r="AO15" s="9">
        <f>1212.9-350.8</f>
        <v>862.10000000000014</v>
      </c>
      <c r="AP15" s="8">
        <f t="shared" si="14"/>
        <v>3.9252379001047224</v>
      </c>
      <c r="AQ15" s="8">
        <f t="shared" si="15"/>
        <v>0.41896291976478606</v>
      </c>
      <c r="AR15" s="24">
        <f t="shared" si="5"/>
        <v>58.103708023521392</v>
      </c>
    </row>
    <row r="16" spans="2:44" ht="15.75" thickBot="1">
      <c r="S16" s="4">
        <v>90</v>
      </c>
      <c r="T16" s="6">
        <f>1204.6-389.5</f>
        <v>815.09999999999991</v>
      </c>
      <c r="U16" s="5">
        <f t="shared" si="8"/>
        <v>3.7112416336566039</v>
      </c>
      <c r="V16" s="5">
        <f t="shared" si="9"/>
        <v>0.39157378939277476</v>
      </c>
      <c r="W16" s="25">
        <f t="shared" si="2"/>
        <v>60.842621060722522</v>
      </c>
      <c r="Z16" s="4">
        <v>90</v>
      </c>
      <c r="AA16" s="6">
        <f>1204.1-389.5</f>
        <v>814.59999999999991</v>
      </c>
      <c r="AB16" s="5">
        <f t="shared" si="10"/>
        <v>3.7089650776305603</v>
      </c>
      <c r="AC16" s="5">
        <f t="shared" si="11"/>
        <v>0.38111724525123974</v>
      </c>
      <c r="AD16" s="25">
        <f t="shared" si="3"/>
        <v>61.888275474876018</v>
      </c>
      <c r="AN16" s="4">
        <v>90</v>
      </c>
      <c r="AO16" s="6">
        <f>1106.8-350.8</f>
        <v>756</v>
      </c>
      <c r="AP16" s="5">
        <f t="shared" si="14"/>
        <v>3.4421527113782271</v>
      </c>
      <c r="AQ16" s="5">
        <f t="shared" si="15"/>
        <v>0.36740049569908156</v>
      </c>
      <c r="AR16" s="25">
        <f t="shared" si="5"/>
        <v>63.259950430091841</v>
      </c>
    </row>
    <row r="17" spans="19:44" ht="15.75" thickBot="1"/>
    <row r="18" spans="19:44" ht="15.75" thickBot="1">
      <c r="S18" s="52" t="s">
        <v>22</v>
      </c>
      <c r="T18" s="53"/>
      <c r="U18" s="53"/>
      <c r="V18" s="53"/>
      <c r="W18" s="54"/>
      <c r="AG18" t="s">
        <v>23</v>
      </c>
      <c r="AN18" s="40" t="s">
        <v>24</v>
      </c>
      <c r="AO18" s="41"/>
      <c r="AP18" s="41"/>
      <c r="AQ18" s="41"/>
      <c r="AR18" s="42"/>
    </row>
    <row r="19" spans="19:44" ht="18.75" thickBot="1">
      <c r="S19" s="1" t="s">
        <v>19</v>
      </c>
      <c r="T19" s="2" t="s">
        <v>15</v>
      </c>
      <c r="U19" s="2" t="s">
        <v>20</v>
      </c>
      <c r="V19" s="2" t="s">
        <v>18</v>
      </c>
      <c r="W19" s="10" t="s">
        <v>17</v>
      </c>
      <c r="AN19" s="35" t="s">
        <v>19</v>
      </c>
      <c r="AO19" s="34" t="s">
        <v>15</v>
      </c>
      <c r="AP19" s="34" t="s">
        <v>20</v>
      </c>
      <c r="AQ19" s="34" t="s">
        <v>18</v>
      </c>
      <c r="AR19" s="7" t="s">
        <v>17</v>
      </c>
    </row>
    <row r="20" spans="19:44" ht="15.75" thickBot="1">
      <c r="S20" s="28">
        <v>0</v>
      </c>
      <c r="T20" s="29">
        <f>2563.3-396.1</f>
        <v>2167.2000000000003</v>
      </c>
      <c r="U20" s="30">
        <f>T20/220.19</f>
        <v>9.842408828738817</v>
      </c>
      <c r="V20" s="30">
        <f>U20/$U$20</f>
        <v>1</v>
      </c>
      <c r="W20" s="31">
        <f t="shared" ref="W20:W27" si="17">($U$20-U20)/$U$20*100</f>
        <v>0</v>
      </c>
      <c r="X20">
        <f>-LN(U20/$U$20)</f>
        <v>0</v>
      </c>
      <c r="AG20" s="55" t="s">
        <v>25</v>
      </c>
      <c r="AH20" s="56"/>
      <c r="AI20" s="56"/>
      <c r="AJ20" s="56"/>
      <c r="AK20" s="57"/>
      <c r="AN20" s="28">
        <v>0</v>
      </c>
      <c r="AO20" s="29">
        <v>2081.1</v>
      </c>
      <c r="AP20" s="32">
        <f>AO20/219.63</f>
        <v>9.475481491599508</v>
      </c>
      <c r="AQ20" s="32">
        <f>AP20/$AP$20</f>
        <v>1</v>
      </c>
      <c r="AR20" s="33">
        <f t="shared" ref="AR20:AR28" si="18">($AP$20-AP20)/$AP$20*100</f>
        <v>0</v>
      </c>
    </row>
    <row r="21" spans="19:44" ht="18.75" thickBot="1">
      <c r="S21" s="3">
        <v>5</v>
      </c>
      <c r="T21" s="9">
        <f>2485.6-362.9</f>
        <v>2122.6999999999998</v>
      </c>
      <c r="U21" s="26">
        <f t="shared" ref="U21:U27" si="19">T21/220.19</f>
        <v>9.6403106408102079</v>
      </c>
      <c r="V21" s="26">
        <f t="shared" ref="V21:V27" si="20">U21/$U$20</f>
        <v>0.97946659283868565</v>
      </c>
      <c r="W21" s="22">
        <f t="shared" si="17"/>
        <v>2.0533407161314332</v>
      </c>
      <c r="X21">
        <f t="shared" ref="X21:X27" si="21">-LN(U21/$U$20)</f>
        <v>2.0747148520487327E-2</v>
      </c>
      <c r="AG21" s="35" t="s">
        <v>19</v>
      </c>
      <c r="AH21" s="34" t="s">
        <v>15</v>
      </c>
      <c r="AI21" s="34" t="s">
        <v>20</v>
      </c>
      <c r="AJ21" s="34" t="s">
        <v>18</v>
      </c>
      <c r="AK21" s="7" t="s">
        <v>17</v>
      </c>
      <c r="AN21" s="3">
        <v>5</v>
      </c>
      <c r="AO21" s="9">
        <v>1966.9</v>
      </c>
      <c r="AP21" s="8">
        <f t="shared" ref="AP21:AP28" si="22">AO21/219.63</f>
        <v>8.9555160952511041</v>
      </c>
      <c r="AQ21" s="8">
        <f t="shared" ref="AQ21:AQ28" si="23">AP21/$AP$20</f>
        <v>0.94512517418672815</v>
      </c>
      <c r="AR21" s="24">
        <f t="shared" si="18"/>
        <v>5.4874825813271801</v>
      </c>
    </row>
    <row r="22" spans="19:44">
      <c r="S22" s="3">
        <v>15</v>
      </c>
      <c r="T22" s="9">
        <f>2387.6-376.3</f>
        <v>2011.3</v>
      </c>
      <c r="U22" s="26">
        <f t="shared" si="19"/>
        <v>9.1343839411417402</v>
      </c>
      <c r="V22" s="26">
        <f t="shared" si="20"/>
        <v>0.9280638612033959</v>
      </c>
      <c r="W22" s="22">
        <f t="shared" si="17"/>
        <v>7.1936138796604059</v>
      </c>
      <c r="X22">
        <f t="shared" si="21"/>
        <v>7.4654732611710239E-2</v>
      </c>
      <c r="AG22" s="28">
        <v>0</v>
      </c>
      <c r="AH22" s="29">
        <f>(2041.3+AA8)/2</f>
        <v>2089.35</v>
      </c>
      <c r="AI22" s="32">
        <f>AH22/219.63</f>
        <v>9.5130446660292307</v>
      </c>
      <c r="AJ22" s="32">
        <f>AI22/$AI$22</f>
        <v>1</v>
      </c>
      <c r="AK22" s="33">
        <f t="shared" ref="AK22:AK29" si="24">($AI$22-AI22)/$AI$22*100</f>
        <v>0</v>
      </c>
      <c r="AN22" s="3">
        <v>10</v>
      </c>
      <c r="AO22" s="9">
        <v>1901.2</v>
      </c>
      <c r="AP22" s="8">
        <f t="shared" si="22"/>
        <v>8.6563766334289483</v>
      </c>
      <c r="AQ22" s="8">
        <f t="shared" si="23"/>
        <v>0.91355533131516986</v>
      </c>
      <c r="AR22" s="24">
        <f t="shared" si="18"/>
        <v>8.6444668684830166</v>
      </c>
    </row>
    <row r="23" spans="19:44">
      <c r="S23" s="3">
        <v>30</v>
      </c>
      <c r="T23" s="9">
        <f>2239.8-434.4</f>
        <v>1805.4</v>
      </c>
      <c r="U23" s="26">
        <f t="shared" si="19"/>
        <v>8.1992824378945457</v>
      </c>
      <c r="V23" s="26">
        <f t="shared" si="20"/>
        <v>0.8330564784053156</v>
      </c>
      <c r="W23" s="22">
        <f t="shared" si="17"/>
        <v>16.694352159468444</v>
      </c>
      <c r="X23">
        <f t="shared" si="21"/>
        <v>0.18265383790683082</v>
      </c>
      <c r="AG23" s="3">
        <v>5</v>
      </c>
      <c r="AH23" s="9">
        <v>1878.7</v>
      </c>
      <c r="AI23" s="8">
        <f>AH23/219.63</f>
        <v>8.553931612256978</v>
      </c>
      <c r="AJ23" s="8">
        <f t="shared" ref="AJ23:AJ29" si="25">AI23/$AI$22</f>
        <v>0.89917917055543595</v>
      </c>
      <c r="AK23" s="24">
        <f t="shared" si="24"/>
        <v>10.082082944456404</v>
      </c>
      <c r="AN23" s="3">
        <v>15</v>
      </c>
      <c r="AO23" s="9">
        <v>1874.9</v>
      </c>
      <c r="AP23" s="8">
        <f t="shared" si="22"/>
        <v>8.536629786459045</v>
      </c>
      <c r="AQ23" s="8">
        <f t="shared" si="23"/>
        <v>0.90091778386430255</v>
      </c>
      <c r="AR23" s="24">
        <f t="shared" si="18"/>
        <v>9.9082216135697418</v>
      </c>
    </row>
    <row r="24" spans="19:44">
      <c r="S24" s="3">
        <v>45</v>
      </c>
      <c r="T24" s="9">
        <f>2109.1-388.8</f>
        <v>1720.3</v>
      </c>
      <c r="U24" s="26">
        <f t="shared" si="19"/>
        <v>7.8127980380580411</v>
      </c>
      <c r="V24" s="26">
        <f t="shared" si="20"/>
        <v>0.79378922111480255</v>
      </c>
      <c r="W24" s="22">
        <f t="shared" si="17"/>
        <v>20.62107788851975</v>
      </c>
      <c r="X24">
        <f t="shared" si="21"/>
        <v>0.23093731756789176</v>
      </c>
      <c r="AG24" s="3">
        <v>15</v>
      </c>
      <c r="AH24" s="9">
        <v>1534.7</v>
      </c>
      <c r="AI24" s="8">
        <f>AH24/219.63</f>
        <v>6.987661066338843</v>
      </c>
      <c r="AJ24" s="8">
        <f t="shared" si="25"/>
        <v>0.73453466389068378</v>
      </c>
      <c r="AK24" s="24">
        <f t="shared" si="24"/>
        <v>26.546533610931622</v>
      </c>
      <c r="AN24" s="3">
        <v>30</v>
      </c>
      <c r="AO24" s="9">
        <v>1667.2</v>
      </c>
      <c r="AP24" s="8">
        <f t="shared" si="22"/>
        <v>7.5909484132404499</v>
      </c>
      <c r="AQ24" s="8">
        <f t="shared" si="23"/>
        <v>0.8011147950603047</v>
      </c>
      <c r="AR24" s="24">
        <f t="shared" si="18"/>
        <v>19.888520493969533</v>
      </c>
    </row>
    <row r="25" spans="19:44">
      <c r="S25" s="3">
        <v>60</v>
      </c>
      <c r="T25" s="9">
        <f>2043.4-410.5</f>
        <v>1632.9</v>
      </c>
      <c r="U25" s="26">
        <f t="shared" si="19"/>
        <v>7.4158681139016309</v>
      </c>
      <c r="V25" s="26">
        <f t="shared" si="20"/>
        <v>0.75346068660022147</v>
      </c>
      <c r="W25" s="22">
        <f t="shared" si="17"/>
        <v>24.653931339977849</v>
      </c>
      <c r="X25">
        <f t="shared" si="21"/>
        <v>0.28307843666262134</v>
      </c>
      <c r="AG25" s="3">
        <v>30</v>
      </c>
      <c r="AH25" s="9">
        <v>1187.9000000000001</v>
      </c>
      <c r="AI25" s="8">
        <f>AH25/220.19</f>
        <v>5.3948862346155595</v>
      </c>
      <c r="AJ25" s="8">
        <f t="shared" si="25"/>
        <v>0.56710405806045683</v>
      </c>
      <c r="AK25" s="24">
        <f t="shared" si="24"/>
        <v>43.289594193954322</v>
      </c>
      <c r="AN25" s="3">
        <v>45</v>
      </c>
      <c r="AO25" s="9">
        <v>1413</v>
      </c>
      <c r="AP25" s="8">
        <f t="shared" si="22"/>
        <v>6.4335473295997812</v>
      </c>
      <c r="AQ25" s="8">
        <f t="shared" si="23"/>
        <v>0.6789678535389938</v>
      </c>
      <c r="AR25" s="24">
        <f t="shared" si="18"/>
        <v>32.103214646100618</v>
      </c>
    </row>
    <row r="26" spans="19:44">
      <c r="S26" s="3">
        <v>75</v>
      </c>
      <c r="T26" s="9">
        <f>2044.1-470.1</f>
        <v>1574</v>
      </c>
      <c r="U26" s="26">
        <f t="shared" si="19"/>
        <v>7.1483718606657884</v>
      </c>
      <c r="V26" s="26">
        <f t="shared" si="20"/>
        <v>0.72628276116648205</v>
      </c>
      <c r="W26" s="22">
        <f t="shared" si="17"/>
        <v>27.371723883351795</v>
      </c>
      <c r="X26">
        <f t="shared" si="21"/>
        <v>0.31981586179353688</v>
      </c>
      <c r="AG26" s="3">
        <v>45</v>
      </c>
      <c r="AH26" s="9">
        <v>743.9</v>
      </c>
      <c r="AI26" s="8">
        <f t="shared" ref="AI26:AI29" si="26">AH26/220.19</f>
        <v>3.3784458876424903</v>
      </c>
      <c r="AJ26" s="8">
        <f t="shared" si="25"/>
        <v>0.3551382345240961</v>
      </c>
      <c r="AK26" s="24">
        <f t="shared" si="24"/>
        <v>64.486176547590389</v>
      </c>
      <c r="AN26" s="3">
        <v>60</v>
      </c>
      <c r="AO26" s="9">
        <v>1232</v>
      </c>
      <c r="AP26" s="8">
        <f t="shared" si="22"/>
        <v>5.6094340481719254</v>
      </c>
      <c r="AQ26" s="8">
        <f t="shared" si="23"/>
        <v>0.5919946182307434</v>
      </c>
      <c r="AR26" s="24">
        <f t="shared" si="18"/>
        <v>40.800538176925663</v>
      </c>
    </row>
    <row r="27" spans="19:44" ht="15.75" thickBot="1">
      <c r="S27" s="4">
        <v>90</v>
      </c>
      <c r="T27" s="6">
        <f>1830.5-387.6</f>
        <v>1442.9</v>
      </c>
      <c r="U27" s="27">
        <f t="shared" si="19"/>
        <v>6.5529769744311732</v>
      </c>
      <c r="V27" s="27">
        <f t="shared" si="20"/>
        <v>0.6657899593946105</v>
      </c>
      <c r="W27" s="23">
        <f t="shared" si="17"/>
        <v>33.421004060538948</v>
      </c>
      <c r="X27">
        <f t="shared" si="21"/>
        <v>0.40678103446767538</v>
      </c>
      <c r="AG27" s="3">
        <v>60</v>
      </c>
      <c r="AH27" s="9">
        <v>628.20000000000005</v>
      </c>
      <c r="AI27" s="8">
        <f t="shared" si="26"/>
        <v>2.8529905990281121</v>
      </c>
      <c r="AJ27" s="8">
        <f t="shared" si="25"/>
        <v>0.29990299627374267</v>
      </c>
      <c r="AK27" s="24">
        <f t="shared" si="24"/>
        <v>70.00970037262573</v>
      </c>
      <c r="AN27" s="3">
        <v>75</v>
      </c>
      <c r="AO27" s="9">
        <v>1026.8</v>
      </c>
      <c r="AP27" s="8">
        <f t="shared" si="22"/>
        <v>4.6751354550835496</v>
      </c>
      <c r="AQ27" s="8">
        <f t="shared" si="23"/>
        <v>0.49339291720724615</v>
      </c>
      <c r="AR27" s="24">
        <f t="shared" si="18"/>
        <v>50.660708279275383</v>
      </c>
    </row>
    <row r="28" spans="19:44" ht="15.75" thickBot="1">
      <c r="AG28" s="3">
        <v>75</v>
      </c>
      <c r="AH28" s="9">
        <v>529</v>
      </c>
      <c r="AI28" s="8">
        <f t="shared" si="26"/>
        <v>2.4024705935782733</v>
      </c>
      <c r="AJ28" s="8">
        <f t="shared" si="25"/>
        <v>0.25254486633048373</v>
      </c>
      <c r="AK28" s="24">
        <f t="shared" si="24"/>
        <v>74.745513366951627</v>
      </c>
      <c r="AN28" s="4">
        <v>90</v>
      </c>
      <c r="AO28" s="6">
        <v>824.2</v>
      </c>
      <c r="AP28" s="5">
        <f t="shared" si="22"/>
        <v>3.7526749533306019</v>
      </c>
      <c r="AQ28" s="5">
        <f t="shared" si="23"/>
        <v>0.39604055547546974</v>
      </c>
      <c r="AR28" s="25">
        <f t="shared" si="18"/>
        <v>60.395944452453023</v>
      </c>
    </row>
    <row r="29" spans="19:44" ht="15.75" thickBot="1">
      <c r="AG29" s="4">
        <v>90</v>
      </c>
      <c r="AH29" s="6">
        <v>420.2</v>
      </c>
      <c r="AI29" s="5">
        <f t="shared" si="26"/>
        <v>1.9083518779236115</v>
      </c>
      <c r="AJ29" s="5">
        <f t="shared" si="25"/>
        <v>0.20060369155400617</v>
      </c>
      <c r="AK29" s="25">
        <f t="shared" si="24"/>
        <v>79.939630844599378</v>
      </c>
    </row>
    <row r="30" spans="19:44" ht="15.75" thickBot="1">
      <c r="AN30" s="43" t="s">
        <v>26</v>
      </c>
      <c r="AO30" s="44"/>
      <c r="AP30" s="44"/>
      <c r="AQ30" s="44"/>
      <c r="AR30" s="45"/>
    </row>
    <row r="31" spans="19:44" ht="18.75" thickBot="1">
      <c r="AN31" s="1" t="s">
        <v>19</v>
      </c>
      <c r="AO31" s="2" t="s">
        <v>15</v>
      </c>
      <c r="AP31" s="2" t="s">
        <v>20</v>
      </c>
      <c r="AQ31" s="2" t="s">
        <v>18</v>
      </c>
      <c r="AR31" s="10" t="s">
        <v>17</v>
      </c>
    </row>
    <row r="32" spans="19:44">
      <c r="AN32" s="3">
        <v>0</v>
      </c>
      <c r="AO32" s="9">
        <f>2183.1-51.8</f>
        <v>2131.2999999999997</v>
      </c>
      <c r="AP32" s="8">
        <f>AO32/220.19</f>
        <v>9.6793678187020298</v>
      </c>
      <c r="AQ32" s="8">
        <f>AP32/$AP$32</f>
        <v>1</v>
      </c>
      <c r="AR32" s="24">
        <f t="shared" ref="AR32:AR39" si="27">($AP$32-AP32)/$AP$32*100</f>
        <v>0</v>
      </c>
    </row>
    <row r="33" spans="4:44">
      <c r="AN33" s="3">
        <v>5</v>
      </c>
      <c r="AO33" s="9">
        <f>2342-223.1</f>
        <v>2118.9</v>
      </c>
      <c r="AP33" s="8">
        <f>AO33/220.19</f>
        <v>9.6230528180208008</v>
      </c>
      <c r="AQ33" s="8">
        <f t="shared" ref="AQ33:AQ39" si="28">AP33/$AP$32</f>
        <v>0.99418195467555026</v>
      </c>
      <c r="AR33" s="24">
        <f t="shared" si="27"/>
        <v>0.58180453244497754</v>
      </c>
    </row>
    <row r="34" spans="4:44">
      <c r="E34" t="s">
        <v>27</v>
      </c>
      <c r="AN34" s="3">
        <v>15</v>
      </c>
      <c r="AO34" s="9">
        <f>2138.1-82.3</f>
        <v>2055.7999999999997</v>
      </c>
      <c r="AP34" s="8">
        <f t="shared" ref="AP34:AP39" si="29">AO34/220.19</f>
        <v>9.3364821290703475</v>
      </c>
      <c r="AQ34" s="8">
        <f t="shared" si="28"/>
        <v>0.96457561112935764</v>
      </c>
      <c r="AR34" s="24">
        <f t="shared" si="27"/>
        <v>3.5424388870642392</v>
      </c>
    </row>
    <row r="35" spans="4:44">
      <c r="AN35" s="3">
        <v>30</v>
      </c>
      <c r="AO35" s="9">
        <f>1898.7</f>
        <v>1898.7</v>
      </c>
      <c r="AP35" s="8">
        <f t="shared" si="29"/>
        <v>8.6230074026976702</v>
      </c>
      <c r="AQ35" s="8">
        <f t="shared" si="28"/>
        <v>0.89086473044620662</v>
      </c>
      <c r="AR35" s="24">
        <f t="shared" si="27"/>
        <v>10.913526955379343</v>
      </c>
    </row>
    <row r="36" spans="4:44">
      <c r="D36" t="s">
        <v>19</v>
      </c>
      <c r="E36" t="s">
        <v>28</v>
      </c>
      <c r="F36" t="s">
        <v>29</v>
      </c>
      <c r="G36" t="s">
        <v>30</v>
      </c>
      <c r="H36" t="s">
        <v>31</v>
      </c>
      <c r="I36" t="s">
        <v>32</v>
      </c>
      <c r="AN36" s="3">
        <v>45</v>
      </c>
      <c r="AO36" s="9">
        <v>1750.1</v>
      </c>
      <c r="AP36" s="8">
        <f t="shared" si="29"/>
        <v>7.948135700985512</v>
      </c>
      <c r="AQ36" s="8">
        <f t="shared" si="28"/>
        <v>0.82114202599352504</v>
      </c>
      <c r="AR36" s="24">
        <f t="shared" si="27"/>
        <v>17.885797400647494</v>
      </c>
    </row>
    <row r="37" spans="4:44">
      <c r="D37">
        <v>0</v>
      </c>
      <c r="E37" s="37">
        <f>P8</f>
        <v>0</v>
      </c>
      <c r="F37" s="38">
        <f>E37-W20</f>
        <v>0</v>
      </c>
      <c r="G37" s="36">
        <f>E37-AK22</f>
        <v>0</v>
      </c>
      <c r="H37" s="38">
        <f>W20-AR32</f>
        <v>0</v>
      </c>
      <c r="I37" s="39">
        <f>F37+G37+H37</f>
        <v>0</v>
      </c>
      <c r="K37" t="s">
        <v>33</v>
      </c>
      <c r="L37" t="s">
        <v>5</v>
      </c>
      <c r="AN37" s="3">
        <v>60</v>
      </c>
      <c r="AO37" s="9">
        <v>1721.6</v>
      </c>
      <c r="AP37" s="8">
        <f t="shared" si="29"/>
        <v>7.8187020300649435</v>
      </c>
      <c r="AQ37" s="8">
        <f t="shared" si="28"/>
        <v>0.80776990569136209</v>
      </c>
      <c r="AR37" s="24">
        <f t="shared" si="27"/>
        <v>19.223009430863794</v>
      </c>
    </row>
    <row r="38" spans="4:44">
      <c r="D38">
        <v>5</v>
      </c>
      <c r="E38" s="37">
        <f t="shared" ref="E38:E42" si="30">P9</f>
        <v>10.587230813015831</v>
      </c>
      <c r="F38" s="38">
        <f>E38-W21</f>
        <v>8.5338900968843969</v>
      </c>
      <c r="G38" s="36">
        <f>E38-AK23</f>
        <v>0.50514786855942617</v>
      </c>
      <c r="H38" s="38">
        <f>W21-AR33</f>
        <v>1.4715361836864558</v>
      </c>
      <c r="I38" s="39">
        <f t="shared" ref="I38:I44" si="31">F38+G38+H38</f>
        <v>10.510574149130278</v>
      </c>
      <c r="J38">
        <f>+F38/I38</f>
        <v>0.8119337702965117</v>
      </c>
      <c r="K38">
        <f>G38/I38</f>
        <v>4.8060920497024019E-2</v>
      </c>
      <c r="L38">
        <f>H38/I38</f>
        <v>0.14000530920646437</v>
      </c>
      <c r="AN38" s="3">
        <v>75</v>
      </c>
      <c r="AO38" s="9">
        <f>1944.8-345.4</f>
        <v>1599.4</v>
      </c>
      <c r="AP38" s="8">
        <f t="shared" si="29"/>
        <v>7.2637267814160502</v>
      </c>
      <c r="AQ38" s="8">
        <f t="shared" si="28"/>
        <v>0.7504340074133159</v>
      </c>
      <c r="AR38" s="24">
        <f t="shared" si="27"/>
        <v>24.956599258668412</v>
      </c>
    </row>
    <row r="39" spans="4:44" ht="15.75" thickBot="1">
      <c r="D39">
        <v>15</v>
      </c>
      <c r="E39" s="37">
        <f t="shared" si="30"/>
        <v>29.991765487145432</v>
      </c>
      <c r="F39" s="38">
        <f t="shared" ref="F39:F44" si="32">E39-W22</f>
        <v>22.798151607485025</v>
      </c>
      <c r="G39" s="36">
        <f t="shared" ref="G39:G44" si="33">E39-AK24</f>
        <v>3.4452318762138106</v>
      </c>
      <c r="H39" s="38">
        <f t="shared" ref="H39:H44" si="34">W22-AR34</f>
        <v>3.6511749925961667</v>
      </c>
      <c r="I39" s="39">
        <f>F39+G39+H39</f>
        <v>29.894558476295003</v>
      </c>
      <c r="J39">
        <f>+F39/I39</f>
        <v>0.7626187764426392</v>
      </c>
      <c r="K39">
        <f t="shared" ref="K39:K44" si="35">G39/I39</f>
        <v>0.115246120090575</v>
      </c>
      <c r="L39">
        <f t="shared" ref="L39:L44" si="36">H39/I39</f>
        <v>0.12213510346678573</v>
      </c>
      <c r="AN39" s="4">
        <v>90</v>
      </c>
      <c r="AO39" s="6">
        <f>1711.7-214.7</f>
        <v>1497</v>
      </c>
      <c r="AP39" s="5">
        <f t="shared" si="29"/>
        <v>6.7986738725646036</v>
      </c>
      <c r="AQ39" s="5">
        <f t="shared" si="28"/>
        <v>0.70238821376624605</v>
      </c>
      <c r="AR39" s="25">
        <f t="shared" si="27"/>
        <v>29.7611786233754</v>
      </c>
    </row>
    <row r="40" spans="4:44">
      <c r="D40">
        <v>30</v>
      </c>
      <c r="E40" s="37">
        <f t="shared" si="30"/>
        <v>51.869338772412476</v>
      </c>
      <c r="F40" s="38">
        <f t="shared" si="32"/>
        <v>35.174986612944032</v>
      </c>
      <c r="G40" s="36">
        <f t="shared" si="33"/>
        <v>8.5797445784581541</v>
      </c>
      <c r="H40" s="38">
        <f t="shared" si="34"/>
        <v>5.7808252040891013</v>
      </c>
      <c r="I40" s="39">
        <f t="shared" si="31"/>
        <v>49.535556395491284</v>
      </c>
      <c r="J40">
        <f t="shared" ref="J40:J44" si="37">+F40/I40</f>
        <v>0.71009572057912029</v>
      </c>
      <c r="K40">
        <f t="shared" si="35"/>
        <v>0.17320375913328956</v>
      </c>
      <c r="L40">
        <f t="shared" si="36"/>
        <v>0.11670052028759025</v>
      </c>
    </row>
    <row r="41" spans="4:44">
      <c r="D41">
        <v>45</v>
      </c>
      <c r="E41" s="37">
        <f t="shared" si="30"/>
        <v>72.36979413717863</v>
      </c>
      <c r="F41" s="38">
        <f t="shared" si="32"/>
        <v>51.74871624865888</v>
      </c>
      <c r="G41" s="36">
        <f t="shared" si="33"/>
        <v>7.8836175895882405</v>
      </c>
      <c r="H41" s="38">
        <f t="shared" si="34"/>
        <v>2.7352804878722559</v>
      </c>
      <c r="I41" s="39">
        <f t="shared" si="31"/>
        <v>62.36761432611938</v>
      </c>
      <c r="J41">
        <f>+F41/I41</f>
        <v>0.82973698461617551</v>
      </c>
      <c r="K41">
        <f t="shared" si="35"/>
        <v>0.12640563014587852</v>
      </c>
      <c r="L41">
        <f t="shared" si="36"/>
        <v>4.3857385237945974E-2</v>
      </c>
    </row>
    <row r="42" spans="4:44">
      <c r="D42">
        <v>60</v>
      </c>
      <c r="E42" s="37">
        <f t="shared" si="30"/>
        <v>79.580931600417415</v>
      </c>
      <c r="F42" s="38">
        <f t="shared" si="32"/>
        <v>54.92700026043957</v>
      </c>
      <c r="G42" s="36">
        <f t="shared" si="33"/>
        <v>9.5712312277916851</v>
      </c>
      <c r="H42" s="38">
        <f t="shared" si="34"/>
        <v>5.4309219091140548</v>
      </c>
      <c r="I42" s="39">
        <f t="shared" si="31"/>
        <v>69.929153397345317</v>
      </c>
      <c r="J42">
        <f t="shared" si="37"/>
        <v>0.78546639837519805</v>
      </c>
      <c r="K42">
        <f t="shared" si="35"/>
        <v>0.13687040043809587</v>
      </c>
      <c r="L42">
        <f t="shared" si="36"/>
        <v>7.7663201186705999E-2</v>
      </c>
    </row>
    <row r="43" spans="4:44">
      <c r="D43">
        <v>75</v>
      </c>
      <c r="E43">
        <v>85.5</v>
      </c>
      <c r="F43" s="38">
        <f t="shared" si="32"/>
        <v>58.128276116648209</v>
      </c>
      <c r="G43" s="36">
        <f t="shared" si="33"/>
        <v>10.754486633048373</v>
      </c>
      <c r="H43" s="38">
        <f t="shared" si="34"/>
        <v>2.4151246246833828</v>
      </c>
      <c r="I43" s="39">
        <f t="shared" si="31"/>
        <v>71.297887374379968</v>
      </c>
      <c r="J43">
        <f t="shared" si="37"/>
        <v>0.8152874966886593</v>
      </c>
      <c r="K43">
        <f t="shared" si="35"/>
        <v>0.15083878399618425</v>
      </c>
      <c r="L43">
        <f t="shared" si="36"/>
        <v>3.3873719315156432E-2</v>
      </c>
    </row>
    <row r="44" spans="4:44">
      <c r="D44">
        <v>90</v>
      </c>
      <c r="E44" s="37">
        <f>P14</f>
        <v>92.186580969547478</v>
      </c>
      <c r="F44" s="38">
        <f t="shared" si="32"/>
        <v>58.76557690900853</v>
      </c>
      <c r="G44" s="36">
        <f t="shared" si="33"/>
        <v>12.2469501249481</v>
      </c>
      <c r="H44" s="38">
        <f t="shared" si="34"/>
        <v>3.6598254371635477</v>
      </c>
      <c r="I44" s="39">
        <f t="shared" si="31"/>
        <v>74.672352471120178</v>
      </c>
      <c r="J44">
        <f t="shared" si="37"/>
        <v>0.78697904866110047</v>
      </c>
      <c r="K44">
        <f t="shared" si="35"/>
        <v>0.16400916429791945</v>
      </c>
      <c r="L44">
        <f t="shared" si="36"/>
        <v>4.9011787040980116E-2</v>
      </c>
    </row>
    <row r="45" spans="4:44">
      <c r="J45">
        <f>SUM(J38:J44)/7</f>
        <v>0.78601688509420076</v>
      </c>
      <c r="K45">
        <f>SUM(K38:K44)/7</f>
        <v>0.13066211122842381</v>
      </c>
      <c r="L45">
        <f>SUM(L38:L44)/7</f>
        <v>8.3321003677375563E-2</v>
      </c>
    </row>
  </sheetData>
  <mergeCells count="10">
    <mergeCell ref="AN6:AR6"/>
    <mergeCell ref="AN18:AR18"/>
    <mergeCell ref="AN30:AR30"/>
    <mergeCell ref="B6:G6"/>
    <mergeCell ref="J6:P6"/>
    <mergeCell ref="S6:W6"/>
    <mergeCell ref="S18:W18"/>
    <mergeCell ref="Z6:AD6"/>
    <mergeCell ref="AG6:AK6"/>
    <mergeCell ref="AG20:AK20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5F681D93C13E84F8E85D1B8C24689CF" ma:contentTypeVersion="11" ma:contentTypeDescription="Crear nuevo documento." ma:contentTypeScope="" ma:versionID="8381ec61749bce38147d98a3dc601a49">
  <xsd:schema xmlns:xsd="http://www.w3.org/2001/XMLSchema" xmlns:xs="http://www.w3.org/2001/XMLSchema" xmlns:p="http://schemas.microsoft.com/office/2006/metadata/properties" xmlns:ns2="658a9569-0ce1-42cd-9d04-c3f1f5b9a174" xmlns:ns3="cc1733c5-517f-4419-9652-4c25b19977e7" targetNamespace="http://schemas.microsoft.com/office/2006/metadata/properties" ma:root="true" ma:fieldsID="0b47490e6a20afce16bb04a4b4632b32" ns2:_="" ns3:_="">
    <xsd:import namespace="658a9569-0ce1-42cd-9d04-c3f1f5b9a174"/>
    <xsd:import namespace="cc1733c5-517f-4419-9652-4c25b19977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8a9569-0ce1-42cd-9d04-c3f1f5b9a1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9842ecb2-9fd7-4b7d-9140-4ee1ebb34b3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733c5-517f-4419-9652-4c25b19977e7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a9d7ae3-f3ae-4489-beed-7c72fe58cc79}" ma:internalName="TaxCatchAll" ma:showField="CatchAllData" ma:web="cc1733c5-517f-4419-9652-4c25b19977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733c5-517f-4419-9652-4c25b19977e7" xsi:nil="true"/>
    <lcf76f155ced4ddcb4097134ff3c332f xmlns="658a9569-0ce1-42cd-9d04-c3f1f5b9a17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937B45D-B501-4037-938B-75F9C4EE316D}"/>
</file>

<file path=customXml/itemProps2.xml><?xml version="1.0" encoding="utf-8"?>
<ds:datastoreItem xmlns:ds="http://schemas.openxmlformats.org/officeDocument/2006/customXml" ds:itemID="{F6651E63-22CC-4C41-8822-A8207676CC7E}"/>
</file>

<file path=customXml/itemProps3.xml><?xml version="1.0" encoding="utf-8"?>
<ds:datastoreItem xmlns:ds="http://schemas.openxmlformats.org/officeDocument/2006/customXml" ds:itemID="{F10100ED-BDDF-408A-8B03-BC4DEF483A8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barbara lomba</dc:creator>
  <cp:keywords/>
  <dc:description/>
  <cp:lastModifiedBy>Barbara Lomba Fernandez</cp:lastModifiedBy>
  <cp:revision/>
  <dcterms:created xsi:type="dcterms:W3CDTF">2024-09-12T10:41:09Z</dcterms:created>
  <dcterms:modified xsi:type="dcterms:W3CDTF">2025-05-15T11:22:37Z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0x01010015F681D93C13E84F8E85D1B8C24689CF</vt:lpwstr>
  </property>
  <property fmtid="{D5CDD505-2E9C-101B-9397-08002B2CF9AE}" pid="3" name="MediaServiceImageTags">
    <vt:lpwstr/>
  </property>
</Properties>
</file>